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mc:AlternateContent xmlns:mc="http://schemas.openxmlformats.org/markup-compatibility/2006">
    <mc:Choice Requires="x15">
      <x15ac:absPath xmlns:x15ac="http://schemas.microsoft.com/office/spreadsheetml/2010/11/ac" url="C:\Users\03087038202\Downloads\"/>
    </mc:Choice>
  </mc:AlternateContent>
  <xr:revisionPtr revIDLastSave="0" documentId="8_{971D5316-8FF3-40A9-A7F1-FE402FFBDDFB}" xr6:coauthVersionLast="47" xr6:coauthVersionMax="47" xr10:uidLastSave="{00000000-0000-0000-0000-000000000000}"/>
  <bookViews>
    <workbookView xWindow="-120" yWindow="-120" windowWidth="24240" windowHeight="13140" tabRatio="869" firstSheet="2" activeTab="4" xr2:uid="{00000000-000D-0000-FFFF-FFFF00000000}"/>
  </bookViews>
  <sheets>
    <sheet name="Plan2" sheetId="2" state="hidden" r:id="rId1"/>
    <sheet name="Plan3" sheetId="3" state="hidden" r:id="rId2"/>
    <sheet name="PLANILHA " sheetId="66" r:id="rId3"/>
    <sheet name="M2" sheetId="57" r:id="rId4"/>
    <sheet name="Auxiliar de Limpeza " sheetId="11" r:id="rId5"/>
    <sheet name="Uniformes e EPI's" sheetId="67" r:id="rId6"/>
    <sheet name="Insumos" sheetId="73" r:id="rId7"/>
    <sheet name="Equipamentos" sheetId="74" r:id="rId8"/>
  </sheets>
  <definedNames>
    <definedName name="_xlnm.Print_Area" localSheetId="4">'Auxiliar de Limpeza '!$A$1:$E$112</definedName>
    <definedName name="_xlnm.Print_Area" localSheetId="7">Equipamentos!$A$1:$H$38</definedName>
    <definedName name="_xlnm.Print_Area" localSheetId="6">Insumos!$A$1:$H$37</definedName>
    <definedName name="_xlnm.Print_Area" localSheetId="3">'M2'!$A$1:$H$70</definedName>
    <definedName name="_xlnm.Print_Area" localSheetId="2">'PLANILHA '!$A$1:$H$23</definedName>
    <definedName name="_xlnm.Print_Area" localSheetId="5">'Uniformes e EPI''s'!$A$1:$G$30</definedName>
    <definedName name="_xlnm.Print_Titles" localSheetId="4">'Auxiliar de Limpeza '!$1:$1</definedName>
    <definedName name="_xlnm.Print_Titles" localSheetId="2">'PLANILHA '!#REF!</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45" i="11" l="1"/>
  <c r="D98" i="11"/>
  <c r="H5" i="74"/>
  <c r="H4" i="74"/>
  <c r="G6" i="74"/>
  <c r="H6" i="74" s="1"/>
  <c r="G5" i="74"/>
  <c r="G4" i="74"/>
  <c r="G3" i="74"/>
  <c r="H3" i="74" s="1"/>
  <c r="H27" i="73"/>
  <c r="H26" i="73"/>
  <c r="H21" i="73"/>
  <c r="H18" i="73"/>
  <c r="H17" i="73"/>
  <c r="H16" i="73"/>
  <c r="H15" i="73"/>
  <c r="H14" i="73"/>
  <c r="H13" i="73"/>
  <c r="H12" i="73"/>
  <c r="H10" i="73"/>
  <c r="H9" i="73"/>
  <c r="H8" i="73"/>
  <c r="H7" i="73"/>
  <c r="H6" i="73"/>
  <c r="H4" i="73"/>
  <c r="H3" i="73"/>
  <c r="E3" i="73"/>
  <c r="G3" i="73"/>
  <c r="E20" i="11"/>
  <c r="D97" i="11"/>
  <c r="D102" i="11" s="1"/>
  <c r="D65" i="11"/>
  <c r="E47" i="11" l="1"/>
  <c r="E49" i="11" s="1"/>
  <c r="G22" i="74"/>
  <c r="H22" i="74" s="1"/>
  <c r="G21" i="74"/>
  <c r="H21" i="74" s="1"/>
  <c r="G15" i="74"/>
  <c r="H15" i="74" s="1"/>
  <c r="G36" i="74"/>
  <c r="H36" i="74" s="1"/>
  <c r="G35" i="74"/>
  <c r="H35" i="74" s="1"/>
  <c r="G34" i="74"/>
  <c r="H34" i="74" s="1"/>
  <c r="G33" i="74"/>
  <c r="H33" i="74" s="1"/>
  <c r="G32" i="74"/>
  <c r="H32" i="74" s="1"/>
  <c r="G31" i="74"/>
  <c r="H31" i="74" s="1"/>
  <c r="G30" i="74"/>
  <c r="H30" i="74" s="1"/>
  <c r="G29" i="74"/>
  <c r="H29" i="74" s="1"/>
  <c r="G28" i="74"/>
  <c r="H28" i="74" s="1"/>
  <c r="G27" i="74"/>
  <c r="H27" i="74" s="1"/>
  <c r="G26" i="74"/>
  <c r="H26" i="74" s="1"/>
  <c r="G25" i="74"/>
  <c r="H25" i="74" s="1"/>
  <c r="G23" i="74"/>
  <c r="H23" i="74" s="1"/>
  <c r="G20" i="74"/>
  <c r="H20" i="74" s="1"/>
  <c r="G19" i="74"/>
  <c r="H19" i="74" s="1"/>
  <c r="G18" i="74"/>
  <c r="H18" i="74" s="1"/>
  <c r="G16" i="74"/>
  <c r="H16" i="74" s="1"/>
  <c r="G14" i="74"/>
  <c r="H14" i="74" s="1"/>
  <c r="G13" i="74"/>
  <c r="H13" i="74" s="1"/>
  <c r="G12" i="74"/>
  <c r="H12" i="74" s="1"/>
  <c r="G11" i="74"/>
  <c r="H11" i="74" s="1"/>
  <c r="G10" i="74"/>
  <c r="H10" i="74" s="1"/>
  <c r="G9" i="74"/>
  <c r="H9" i="74" s="1"/>
  <c r="G8" i="74"/>
  <c r="H8" i="74" s="1"/>
  <c r="G7" i="74"/>
  <c r="H7" i="74" l="1"/>
  <c r="G24" i="74"/>
  <c r="H24" i="74" s="1"/>
  <c r="C69" i="57"/>
  <c r="E80" i="11"/>
  <c r="E53" i="11"/>
  <c r="D41" i="11"/>
  <c r="E27" i="73"/>
  <c r="G27" i="73" s="1"/>
  <c r="F19" i="73"/>
  <c r="H19" i="73" s="1"/>
  <c r="E19" i="73"/>
  <c r="G19" i="73" l="1"/>
  <c r="C63" i="57" l="1"/>
  <c r="C58" i="57"/>
  <c r="C52" i="57"/>
  <c r="C47" i="57"/>
  <c r="C42" i="57"/>
  <c r="C37" i="57"/>
  <c r="C32" i="57"/>
  <c r="C26" i="57"/>
  <c r="C21" i="57"/>
  <c r="C16" i="57"/>
  <c r="C11" i="57"/>
  <c r="C6" i="57"/>
  <c r="F20" i="73" l="1"/>
  <c r="H20" i="73" s="1"/>
  <c r="F25" i="73"/>
  <c r="H25" i="73" s="1"/>
  <c r="F23" i="73"/>
  <c r="H23" i="73" s="1"/>
  <c r="F24" i="73"/>
  <c r="H24" i="73" s="1"/>
  <c r="F22" i="73"/>
  <c r="H22" i="73" s="1"/>
  <c r="F11" i="73"/>
  <c r="H11" i="73" s="1"/>
  <c r="F5" i="73"/>
  <c r="H5" i="73" s="1"/>
  <c r="H28" i="73" s="1"/>
  <c r="H29" i="73" s="1"/>
  <c r="E20" i="73" l="1"/>
  <c r="E26" i="73"/>
  <c r="G26" i="73" s="1"/>
  <c r="E25" i="73"/>
  <c r="E23" i="73"/>
  <c r="E24" i="73"/>
  <c r="E22" i="73"/>
  <c r="E21" i="73"/>
  <c r="G21" i="73" s="1"/>
  <c r="E18" i="73"/>
  <c r="G18" i="73" s="1"/>
  <c r="E17" i="73"/>
  <c r="G17" i="73" s="1"/>
  <c r="E16" i="73"/>
  <c r="G16" i="73" s="1"/>
  <c r="E15" i="73"/>
  <c r="G15" i="73" s="1"/>
  <c r="E14" i="73"/>
  <c r="G14" i="73" s="1"/>
  <c r="E13" i="73"/>
  <c r="E12" i="73"/>
  <c r="G12" i="73" s="1"/>
  <c r="E11" i="73"/>
  <c r="E10" i="73"/>
  <c r="G10" i="73" s="1"/>
  <c r="E9" i="73"/>
  <c r="G9" i="73" s="1"/>
  <c r="E8" i="73"/>
  <c r="G8" i="73" s="1"/>
  <c r="E7" i="73"/>
  <c r="G7" i="73" s="1"/>
  <c r="E6" i="73"/>
  <c r="G6" i="73" s="1"/>
  <c r="E5" i="73"/>
  <c r="E4" i="73"/>
  <c r="G4" i="73" s="1"/>
  <c r="G17" i="74"/>
  <c r="D95" i="11"/>
  <c r="D72" i="11"/>
  <c r="D79" i="11" s="1"/>
  <c r="D81" i="11" s="1"/>
  <c r="D62" i="11"/>
  <c r="H17" i="74" l="1"/>
  <c r="H37" i="74" s="1"/>
  <c r="H38" i="74" s="1"/>
  <c r="G37" i="74"/>
  <c r="G13" i="73"/>
  <c r="F8" i="67"/>
  <c r="G8" i="67" s="1"/>
  <c r="F7" i="67"/>
  <c r="G7" i="67" s="1"/>
  <c r="F6" i="67"/>
  <c r="G6" i="67" s="1"/>
  <c r="F5" i="67"/>
  <c r="G5" i="67" s="1"/>
  <c r="D76" i="11"/>
  <c r="E18" i="11"/>
  <c r="E25" i="11" s="1"/>
  <c r="C57" i="11" l="1"/>
  <c r="E57" i="11" s="1"/>
  <c r="E87" i="11"/>
  <c r="G9" i="67"/>
  <c r="F9" i="67"/>
  <c r="G10" i="67" l="1"/>
  <c r="E85" i="11" s="1"/>
  <c r="G11" i="73"/>
  <c r="G22" i="73"/>
  <c r="G23" i="73"/>
  <c r="G5" i="73"/>
  <c r="G28" i="73" s="1"/>
  <c r="G24" i="73"/>
  <c r="G25" i="73"/>
  <c r="G20" i="73"/>
  <c r="E86" i="11" l="1"/>
  <c r="E89" i="11" s="1"/>
  <c r="E63" i="57"/>
  <c r="E58" i="57"/>
  <c r="F63" i="57" l="1"/>
  <c r="F58" i="57"/>
  <c r="E109" i="11" l="1"/>
  <c r="E105" i="11" l="1"/>
  <c r="C29" i="11"/>
  <c r="E29" i="11" s="1"/>
  <c r="C28" i="11"/>
  <c r="C60" i="11" l="1"/>
  <c r="E60" i="11" s="1"/>
  <c r="C58" i="11"/>
  <c r="E58" i="11" s="1"/>
  <c r="C61" i="11"/>
  <c r="E61" i="11" s="1"/>
  <c r="C59" i="11"/>
  <c r="E59" i="11" s="1"/>
  <c r="E62" i="11" l="1"/>
  <c r="E107" i="11" s="1"/>
  <c r="D28" i="11" l="1"/>
  <c r="D30" i="11" l="1"/>
  <c r="E28" i="11"/>
  <c r="E30" i="11" s="1"/>
  <c r="E51" i="11" s="1"/>
  <c r="D13" i="2"/>
  <c r="D12" i="2"/>
  <c r="D11" i="2"/>
  <c r="D10" i="2"/>
  <c r="D9" i="2"/>
  <c r="D8" i="2"/>
  <c r="C33" i="11" l="1"/>
  <c r="E33" i="11" s="1"/>
  <c r="C39" i="11"/>
  <c r="E39" i="11" s="1"/>
  <c r="C38" i="11"/>
  <c r="E38" i="11" s="1"/>
  <c r="C34" i="11"/>
  <c r="E34" i="11" s="1"/>
  <c r="C40" i="11"/>
  <c r="E40" i="11" s="1"/>
  <c r="C37" i="11"/>
  <c r="E37" i="11" s="1"/>
  <c r="C36" i="11"/>
  <c r="E36" i="11" s="1"/>
  <c r="C35" i="11"/>
  <c r="E35" i="11" s="1"/>
  <c r="E41" i="11" l="1"/>
  <c r="E52" i="11" s="1"/>
  <c r="E54" i="11"/>
  <c r="C71" i="11" s="1"/>
  <c r="E71" i="11" s="1"/>
  <c r="E75" i="11" l="1"/>
  <c r="E76" i="11" s="1"/>
  <c r="C67" i="11"/>
  <c r="E67" i="11" s="1"/>
  <c r="C68" i="11"/>
  <c r="E68" i="11" s="1"/>
  <c r="C65" i="11"/>
  <c r="E65" i="11" s="1"/>
  <c r="C70" i="11"/>
  <c r="E70" i="11" s="1"/>
  <c r="C69" i="11"/>
  <c r="E69" i="11" s="1"/>
  <c r="C66" i="11"/>
  <c r="E66" i="11" s="1"/>
  <c r="E106" i="11"/>
  <c r="E72" i="11" l="1"/>
  <c r="E79" i="11" l="1"/>
  <c r="E81" i="11" s="1"/>
  <c r="E82" i="11"/>
  <c r="E90" i="11" s="1"/>
  <c r="C93" i="11" l="1"/>
  <c r="E93" i="11" s="1"/>
  <c r="E108" i="11"/>
  <c r="E110" i="11" s="1"/>
  <c r="C94" i="11" l="1"/>
  <c r="E94" i="11" s="1"/>
  <c r="E95" i="11" l="1"/>
  <c r="E96" i="11" s="1"/>
  <c r="C99" i="11" l="1"/>
  <c r="E99" i="11" s="1"/>
  <c r="C101" i="11"/>
  <c r="E101" i="11" s="1"/>
  <c r="C100" i="11"/>
  <c r="E100" i="11" s="1"/>
  <c r="E102" i="11" l="1"/>
  <c r="E103" i="11" l="1"/>
  <c r="E111" i="11" s="1"/>
  <c r="E112" i="11" s="1"/>
  <c r="D69" i="57" l="1"/>
  <c r="E69" i="57" s="1"/>
  <c r="E70" i="57" s="1"/>
  <c r="F22" i="66" s="1"/>
  <c r="G22" i="66" s="1"/>
  <c r="H22" i="66" s="1"/>
  <c r="D6" i="57"/>
  <c r="E6" i="57" s="1"/>
  <c r="E7" i="57" s="1"/>
  <c r="F7" i="66" s="1"/>
  <c r="G7" i="66" s="1"/>
  <c r="D16" i="57"/>
  <c r="E16" i="57" s="1"/>
  <c r="E17" i="57" s="1"/>
  <c r="F9" i="66" s="1"/>
  <c r="G9" i="66" s="1"/>
  <c r="H9" i="66" s="1"/>
  <c r="D32" i="57"/>
  <c r="E32" i="57" s="1"/>
  <c r="E33" i="57" s="1"/>
  <c r="F13" i="66" s="1"/>
  <c r="G13" i="66" s="1"/>
  <c r="H13" i="66" s="1"/>
  <c r="D47" i="57"/>
  <c r="E47" i="57" s="1"/>
  <c r="E48" i="57" s="1"/>
  <c r="F16" i="66" s="1"/>
  <c r="G16" i="66" s="1"/>
  <c r="H16" i="66" s="1"/>
  <c r="D37" i="57"/>
  <c r="E37" i="57" s="1"/>
  <c r="E38" i="57" s="1"/>
  <c r="F14" i="66" s="1"/>
  <c r="G14" i="66" s="1"/>
  <c r="H14" i="66" s="1"/>
  <c r="D26" i="57"/>
  <c r="E26" i="57" s="1"/>
  <c r="E27" i="57" s="1"/>
  <c r="F11" i="66" s="1"/>
  <c r="G11" i="66" s="1"/>
  <c r="H11" i="66" s="1"/>
  <c r="D42" i="57"/>
  <c r="E42" i="57" s="1"/>
  <c r="E43" i="57" s="1"/>
  <c r="F15" i="66" s="1"/>
  <c r="G15" i="66" s="1"/>
  <c r="H15" i="66" s="1"/>
  <c r="G63" i="57"/>
  <c r="H63" i="57" s="1"/>
  <c r="H64" i="57" s="1"/>
  <c r="F20" i="66" s="1"/>
  <c r="G20" i="66" s="1"/>
  <c r="H20" i="66" s="1"/>
  <c r="D21" i="57"/>
  <c r="E21" i="57" s="1"/>
  <c r="E22" i="57" s="1"/>
  <c r="F10" i="66" s="1"/>
  <c r="G10" i="66" s="1"/>
  <c r="H10" i="66" s="1"/>
  <c r="G58" i="57"/>
  <c r="H58" i="57" s="1"/>
  <c r="H59" i="57" s="1"/>
  <c r="F19" i="66" s="1"/>
  <c r="G19" i="66" s="1"/>
  <c r="H19" i="66" s="1"/>
  <c r="D11" i="57"/>
  <c r="E11" i="57" s="1"/>
  <c r="E12" i="57" s="1"/>
  <c r="F8" i="66" s="1"/>
  <c r="G8" i="66" s="1"/>
  <c r="H8" i="66" s="1"/>
  <c r="D52" i="57"/>
  <c r="E52" i="57" s="1"/>
  <c r="E53" i="57" s="1"/>
  <c r="F17" i="66" s="1"/>
  <c r="G17" i="66" s="1"/>
  <c r="H17" i="66" s="1"/>
  <c r="H7" i="66" l="1"/>
  <c r="H23" i="66" s="1"/>
  <c r="G23" i="66"/>
</calcChain>
</file>

<file path=xl/sharedStrings.xml><?xml version="1.0" encoding="utf-8"?>
<sst xmlns="http://schemas.openxmlformats.org/spreadsheetml/2006/main" count="626" uniqueCount="372">
  <si>
    <t>A</t>
  </si>
  <si>
    <t>Data de apresentação da proposta (mês/ano)</t>
  </si>
  <si>
    <t>B</t>
  </si>
  <si>
    <t>C</t>
  </si>
  <si>
    <t>Ano Acordo, Convenção ou Sentença Normativa em Dissídio Coletivo</t>
  </si>
  <si>
    <t>D</t>
  </si>
  <si>
    <t>Identificação do Serviço</t>
  </si>
  <si>
    <t>Anexo III-A – Mão-de-obra</t>
  </si>
  <si>
    <t>Mão-de-obra vinculada à execução contratual</t>
  </si>
  <si>
    <t>Dados complementares para composição dos custos referente à mão-de-obra</t>
  </si>
  <si>
    <t>Valor (R$)</t>
  </si>
  <si>
    <t>Salário Normativo da Categoria Profissional</t>
  </si>
  <si>
    <t>Categoria profissional (vinculada à execução contratual)</t>
  </si>
  <si>
    <t>Data base da categoria (dia/mês/ano)</t>
  </si>
  <si>
    <t>MÓDULO 1 : COMPOSIÇÃO DA REMUNERAÇÃO</t>
  </si>
  <si>
    <t>Composição da Remuneração</t>
  </si>
  <si>
    <t>Salário</t>
  </si>
  <si>
    <t>Adicional de Periculosidade</t>
  </si>
  <si>
    <t>30% sobre o salário</t>
  </si>
  <si>
    <t>Adicional de Insalubridade</t>
  </si>
  <si>
    <t>Adicional Noturno</t>
  </si>
  <si>
    <t>20% sobre  a hora diurna</t>
  </si>
  <si>
    <t>E</t>
  </si>
  <si>
    <t>H. Extra (+50%) ou H. Normal + 20% de adiconal</t>
  </si>
  <si>
    <t>F</t>
  </si>
  <si>
    <t>G</t>
  </si>
  <si>
    <t>TOTAL DE BENEFÍCIOS MENSAIS E DIÁRIOS</t>
  </si>
  <si>
    <t>Insumos Diversos</t>
  </si>
  <si>
    <t>4.1</t>
  </si>
  <si>
    <t>Encargos previdenciários e FGTS</t>
  </si>
  <si>
    <t>H</t>
  </si>
  <si>
    <t>TOTAL</t>
  </si>
  <si>
    <t>4.2</t>
  </si>
  <si>
    <t>13 º Salário</t>
  </si>
  <si>
    <t>Provisão para Rescisão</t>
  </si>
  <si>
    <t>Aviso prévio indenizado</t>
  </si>
  <si>
    <r>
      <t>Incidência do FGTS sobre aviso prévio indenizado (8%)</t>
    </r>
    <r>
      <rPr>
        <i/>
        <sz val="10"/>
        <color rgb="FF002060"/>
        <rFont val="Calibri"/>
        <family val="2"/>
        <scheme val="minor"/>
      </rPr>
      <t/>
    </r>
  </si>
  <si>
    <t>Aviso prévio trabalhado</t>
  </si>
  <si>
    <t>Custos Indiretos, Tributos e Lucro</t>
  </si>
  <si>
    <t>Custos Indiretos</t>
  </si>
  <si>
    <t>Lucro (MT + M5.A)</t>
  </si>
  <si>
    <t>Tributos</t>
  </si>
  <si>
    <t>TOTAL DOS TRIBUTOS</t>
  </si>
  <si>
    <t>TOTAL DOS CUSTOS INDIRETOS, TRIBUTOS E LUCRO</t>
  </si>
  <si>
    <t>Mão-de-obra vinculada à execução contratual (valor por empregado)</t>
  </si>
  <si>
    <t>Módulo 1 – Composição da Remuneração</t>
  </si>
  <si>
    <t>VALOR TOTAL POR EMPREGADO</t>
  </si>
  <si>
    <t xml:space="preserve"> MÓDULO 2: BENEFÍCIOS MENSAIS E DIÁRIOS</t>
  </si>
  <si>
    <t>]</t>
  </si>
  <si>
    <t>27/08/2012 - APLICABILIDADE DA LEI Nº 12.506, DE 11 DE OUTUBRO DE 2011</t>
  </si>
  <si>
    <t>AVISO PRÉVIO TRABALHADO</t>
  </si>
  <si>
    <t>COMUNICA</t>
  </si>
  <si>
    <t>Com a publicação da LEI 12.506/2011, ainda que esta não se manifeste sobre a redução da jornada e da proporcionalidade nos dias de falta ao trabalho no caso de aviso prévio trabalhado, poder-se-ia entender que o empregado teria direito à redução de 2 horas diárias, bem como poderia faltar ao trabalho o número de dias proporcionais ao tempo trabalhado.</t>
  </si>
  <si>
    <r>
      <t>ASSIM SENDO, COM A NOVA PREVISÃO LEGAL</t>
    </r>
    <r>
      <rPr>
        <b/>
        <sz val="8"/>
        <color rgb="FFFF0000"/>
        <rFont val="Verdana"/>
        <family val="2"/>
      </rPr>
      <t>, HAVERÁ NECESSIDADE DE MODIFICAÇÃO NA METODOLOGIA ATÉ ENTÃO ADOTADA PARA PRORROGAÇÃO DOS CONTRATOS DE PRESTAÇÃO DE SERVIÇOS COM ALOCAÇÃO DE MÃO DE OBRA. NESSE CASO, O VALOR PREVISTO A TÍTULO DE AVISO PRÉVIO DEVERÁ CONSIDERAR 3 (TRÊS) DIAS PARA CADA ANO DE PRORROGAÇÃO, ATÉ O LIMITE DE 12 (DOZE) DIAS, PERFAZENDO UM TOTAL DE 42 (QUARENTA E DOIS) DIAS</t>
    </r>
    <r>
      <rPr>
        <sz val="8"/>
        <color rgb="FF000000"/>
        <rFont val="Verdana"/>
        <family val="2"/>
      </rPr>
      <t>, VISTO QUE O INCISO II DO ART. 57 DA LEI N° 8.666, DE 21 DE JUNHO DE 1993, PERMITE QUE OS CONTRATOS DE PRESTAÇÃO DE SERVIÇOS CONTINUADOS SEJAM PRORROGADOS ATÉ UM LIMITE DE SESSENTA MESES, CASO OS PREÇOS E CONDIÇÕES SEJAM MAIS VANTAJOSOS PARA A ADMINISTRAÇÃO. DESSA FORMA, A METODOLOGIA REFLETIRÁ O PRAZO DE AVISO PRÉVIO QUE O EMPREGADO ACUMULA NO PRIMEIRO ANO E NOS SEGUINTES DO CONTRATO.</t>
    </r>
  </si>
  <si>
    <t>Aviso Prévio Trabalhado - Demissão Sem Justa Causa</t>
  </si>
  <si>
    <t>BRASÍLIA-DF, 15 DE AGOSTO DE 2012</t>
  </si>
  <si>
    <t>Tempo Trabalhado</t>
  </si>
  <si>
    <t>Dias de Aviso</t>
  </si>
  <si>
    <t>Faltas ao Trabalho</t>
  </si>
  <si>
    <t>SECRETARIA DE LOGÍSTICA E TECNOLOGIA DA INFORMAÇÃO – SLTI</t>
  </si>
  <si>
    <t>no final do aviso</t>
  </si>
  <si>
    <t>DEPARTAMENTO DE LOGÍSTICA E SERVIÇOS GERAIS – DLSG</t>
  </si>
  <si>
    <t>Até 1 ano</t>
  </si>
  <si>
    <t>COORDENAÇÃO-GERAL DE NORMAS – CGN</t>
  </si>
  <si>
    <t>Até 2 anos</t>
  </si>
  <si>
    <t>Até 3 anos</t>
  </si>
  <si>
    <t>Até 4 anos</t>
  </si>
  <si>
    <t>Até 5 anos</t>
  </si>
  <si>
    <t>Até 6 anos</t>
  </si>
  <si>
    <t>Até 7 anos</t>
  </si>
  <si>
    <t>Até 8 anos</t>
  </si>
  <si>
    <t>Até 9 anos</t>
  </si>
  <si>
    <t>Até 10 anos</t>
  </si>
  <si>
    <t>Até 11 anos</t>
  </si>
  <si>
    <t>Até 12 anos</t>
  </si>
  <si>
    <t>Até 13 anos</t>
  </si>
  <si>
    <t>Até 14 anos</t>
  </si>
  <si>
    <t>Até 15 anos</t>
  </si>
  <si>
    <t>Até 16 anos</t>
  </si>
  <si>
    <t>Até 17 anos</t>
  </si>
  <si>
    <t>Até 18 anos</t>
  </si>
  <si>
    <t>Até 19 anos</t>
  </si>
  <si>
    <t>Até 20 anos</t>
  </si>
  <si>
    <t>A partir de 20 anos</t>
  </si>
  <si>
    <t>VOLTAR PLANILHA PRINCIPAL</t>
  </si>
  <si>
    <r>
      <t>Nota:</t>
    </r>
    <r>
      <rPr>
        <sz val="14"/>
        <color rgb="FF000000"/>
        <rFont val="Calibri"/>
        <family val="2"/>
        <scheme val="minor"/>
      </rPr>
      <t> Entretanto, a lei não especifica que deva aplicar esta proporcionalidade de acordo com o tempo de empresa, porquanto </t>
    </r>
    <r>
      <rPr>
        <b/>
        <u/>
        <sz val="14"/>
        <color rgb="FF000000"/>
        <rFont val="Calibri"/>
        <family val="2"/>
        <scheme val="minor"/>
      </rPr>
      <t>entendemos que a falta ao final do aviso ainda seja de 7 (sete) dias</t>
    </r>
    <r>
      <rPr>
        <sz val="14"/>
        <color rgb="FF000000"/>
        <rFont val="Calibri"/>
        <family val="2"/>
        <scheme val="minor"/>
      </rPr>
      <t>. Já em relação a redução de jornada, </t>
    </r>
    <r>
      <rPr>
        <b/>
        <u/>
        <sz val="14"/>
        <color rgb="FF000000"/>
        <rFont val="Calibri"/>
        <family val="2"/>
        <scheme val="minor"/>
      </rPr>
      <t>entendemos que deva ser de 2 horas independentemente do número de dias</t>
    </r>
    <r>
      <rPr>
        <sz val="14"/>
        <color rgb="FF000000"/>
        <rFont val="Calibri"/>
        <family val="2"/>
        <scheme val="minor"/>
      </rPr>
      <t> de aviso trabalhado.</t>
    </r>
  </si>
  <si>
    <t>Exemplo</t>
  </si>
  <si>
    <t>Empregado (com um ano de emprego) recebeu a comunicação de desligamento em 01.07.2011, optou pela falta ao serviço durante os últimos 7 (sete) dias corridos. Neste caso, considerando o início da contagem dos 30 dias em 02.07.2011 (dia seguinte ao da comunicação), o término do aviso e consequentemente a baixa na CTPS foi em 31.07.2011, embora o mesmo só trabalhe até 24.07.2011.</t>
  </si>
  <si>
    <t>Neste caso, a data de pagamento das verbas rescisórias será o dia seguinte ao término do aviso, ou seja, 01.08.2011.</t>
  </si>
  <si>
    <t>FONTE: www.guiatrabalhista.com.br</t>
  </si>
  <si>
    <t>PRORROGAÇÃO EXECEPCIONAL (§ 4º DO ART. 57 DA LLC)</t>
  </si>
  <si>
    <t>FALTAS LEGAIS</t>
  </si>
  <si>
    <t>Limite de Faltas</t>
  </si>
  <si>
    <t>Motivo</t>
  </si>
  <si>
    <t>Colunas1</t>
  </si>
  <si>
    <t>Colunas2</t>
  </si>
  <si>
    <t>até 2 dias consecutivos</t>
  </si>
  <si>
    <t>Falecimento de cônjuge, ascendente, descendente, irmão ou pessoa que, declarada em sua CTPS, viva sob sua dependência econômica.</t>
  </si>
  <si>
    <t>até 3 dias consecutivos</t>
  </si>
  <si>
    <t>Casamento</t>
  </si>
  <si>
    <t>5 dias, no decorrer da primeira semana</t>
  </si>
  <si>
    <t>Nascimento de Filho (Este inciso fica tacitamente revogado em virtude do inciso XIX do art. 7º da CF/88 que instituiu a Licença-Paternidade e pelo § 1º do Art. 10 da ADCT/88 que fixou o prazo para 5 (cinco) dias.)</t>
  </si>
  <si>
    <t>1 dia em cada 12 meses de trabalho</t>
  </si>
  <si>
    <t>Doação voluntária de sangue devidamente comprovada</t>
  </si>
  <si>
    <t>até 2 dias consecutivos ou não</t>
  </si>
  <si>
    <t>Alistamento eleitoral</t>
  </si>
  <si>
    <t>até 9 dias</t>
  </si>
  <si>
    <t>gala ou luto, em conseqüência de falecimento do cônjuge, do pai ou mãe, ou de filho de professor</t>
  </si>
  <si>
    <t>---</t>
  </si>
  <si>
    <t>Dias em que estiver comprovadamente realizando provas do exame vestibular em estabelecimento de ensino superior</t>
  </si>
  <si>
    <t>No período de tempo em que tiver de cumprir as exigências do Serviço Militar (art. 65 letra "c" da Lei nº 4375/64)</t>
  </si>
  <si>
    <t>Apresentar-se, anualmente, no local e data que forem fixados, para fins de exercício de apresentação das reservas ou cerimônia cívica do Dia do Reservista.</t>
  </si>
  <si>
    <t>Ausências decorrentes de exercícios ou manobras, pelo convocado matriculado em órgão de formação de reserva (art.60 § 4º da Lei º 4375/64)</t>
  </si>
  <si>
    <t>Ausência do empregado, justificada, a critério do empregador</t>
  </si>
  <si>
    <t>Paralisação dos serviços nos dias em que, por conveniência do empregador, não tenha havido trabalho.</t>
  </si>
  <si>
    <t>Falta ao serviço por acidente de trabalho</t>
  </si>
  <si>
    <t>2 semanas</t>
  </si>
  <si>
    <t>Aborto não criminoso, comprovado por atestado médico oficial</t>
  </si>
  <si>
    <t>até 15 dias</t>
  </si>
  <si>
    <t>Doença, devidamente comprovada por atestado médico (1)</t>
  </si>
  <si>
    <t>Comparecimento necessário, como parte, à Justiça do Trabalho</t>
  </si>
  <si>
    <t>Comparecimento para depor na Justiça, quando devidamente arrolado ou convocado como testemunha</t>
  </si>
  <si>
    <t>Comparecimento às sessões do júri, como jurado sorteado</t>
  </si>
  <si>
    <t>Ausências dos representantes dos trabalhadores no Conselho Curador do FGTS, decorrentes de atividades desse órgão</t>
  </si>
  <si>
    <t>Convocação para o serviço eleitoral</t>
  </si>
  <si>
    <t xml:space="preserve"> </t>
  </si>
  <si>
    <t>Tipo de serviço (mesmo serviço com características distintas)</t>
  </si>
  <si>
    <t xml:space="preserve">Assistência médica e familiar </t>
  </si>
  <si>
    <t xml:space="preserve">Auxílio creche </t>
  </si>
  <si>
    <t xml:space="preserve">Seguro de vida </t>
  </si>
  <si>
    <t>Outros</t>
  </si>
  <si>
    <t>INTERVALO INTRAJORNADA</t>
  </si>
  <si>
    <t>DSR INTRAJORNADA</t>
  </si>
  <si>
    <t>Área Externa</t>
  </si>
  <si>
    <t>ESPECIFICAÇÃO</t>
  </si>
  <si>
    <t>ITEM</t>
  </si>
  <si>
    <t>VALOR TOTAL (Mensal)</t>
  </si>
  <si>
    <t>1.1</t>
  </si>
  <si>
    <t>m²</t>
  </si>
  <si>
    <t>2.1</t>
  </si>
  <si>
    <t>2.2</t>
  </si>
  <si>
    <t>3.1</t>
  </si>
  <si>
    <t>Áreas Internas</t>
  </si>
  <si>
    <t>3.2</t>
  </si>
  <si>
    <t>1.1.1</t>
  </si>
  <si>
    <t>1.1.2</t>
  </si>
  <si>
    <t>1.1.3</t>
  </si>
  <si>
    <t>Transporte</t>
  </si>
  <si>
    <t>13º Salário, Férias e Adicional de Férias</t>
  </si>
  <si>
    <t>GPS, FGTS e outras contribuições</t>
  </si>
  <si>
    <t>Beneficios diários e mensais</t>
  </si>
  <si>
    <t>Módulo 4 – Custo de Reposição do Profissional Ausente</t>
  </si>
  <si>
    <t>Quadro resumo dos beneficios</t>
  </si>
  <si>
    <t>TOTAL DO MÓDULO 1</t>
  </si>
  <si>
    <t>TOTAL DO MÓDULO 2</t>
  </si>
  <si>
    <t>TOTAL DO MÓDULO 3</t>
  </si>
  <si>
    <t>TOTAL DO MÓDULO 4</t>
  </si>
  <si>
    <t>TOTAL DO MÓDULO 5</t>
  </si>
  <si>
    <t>Módulo 3 – Provisão para Rescisão</t>
  </si>
  <si>
    <t>Módulo 5 – Insumos Diversos</t>
  </si>
  <si>
    <t>Módulo 2 – Encargos e Benefícios Anuais, Mensais e Diários</t>
  </si>
  <si>
    <t>Subtotal (A + B +C+ D+E)</t>
  </si>
  <si>
    <t>Módulo 6 – Custos indiretos, tributos e lucro</t>
  </si>
  <si>
    <t>MÓDULO 3 - PROVISÃO PARA RESCISÃO</t>
  </si>
  <si>
    <t>MÓDULO 4 – CUSTO DE REPOSIÇÃO DO PROFISSIONAL AUSENTE</t>
  </si>
  <si>
    <t>MÓDULO 5 - INSUMOS DIVERSOS</t>
  </si>
  <si>
    <t xml:space="preserve">MÓDULO 6 – CUSTOS INDIRETOS, TRIBUTOS E LUCRO </t>
  </si>
  <si>
    <t xml:space="preserve">ÁREAS HOSPITALARES E ASSEMELHADAS </t>
  </si>
  <si>
    <t>MÃO DE OBRA</t>
  </si>
  <si>
    <t>(2)
PREÇO DO HOMEM-MÊS
(R$)</t>
  </si>
  <si>
    <t>Servente</t>
  </si>
  <si>
    <t>1/350</t>
  </si>
  <si>
    <t>TOTAL:</t>
  </si>
  <si>
    <t>1/550</t>
  </si>
  <si>
    <t>(2)
FREQÜÊNCIA NO MÊS
(HORAS***)</t>
  </si>
  <si>
    <t>(3)
JORNADA DE TRABALHO NO MÊS
(HORAS)</t>
  </si>
  <si>
    <t>(4)
(1 x 2 x 3)
(Ki ****)</t>
  </si>
  <si>
    <t>(5)
PREÇO DO HOMEM-MÊS
(R$)</t>
  </si>
  <si>
    <t>1/450</t>
  </si>
  <si>
    <t>1/2700</t>
  </si>
  <si>
    <t>UNIFORMES E EPI (POR FUNCIONÁRIO)</t>
  </si>
  <si>
    <t>Ordem</t>
  </si>
  <si>
    <t>Descrição</t>
  </si>
  <si>
    <t>Unidade</t>
  </si>
  <si>
    <t>Quantidade</t>
  </si>
  <si>
    <t>Valor Unitário</t>
  </si>
  <si>
    <t>Par</t>
  </si>
  <si>
    <t>Submódulo 2.3 – Beneficios Mensais</t>
  </si>
  <si>
    <t>PRODUTIVIDADE</t>
  </si>
  <si>
    <t>ÁREAS</t>
  </si>
  <si>
    <t>1/800</t>
  </si>
  <si>
    <t>Crachá</t>
  </si>
  <si>
    <t>Multa sobre FGTS e Contribuição Social sobre o Aviso Prévio Indenizado e sobre o Aviso Prévio Trabalhado. (Alterado Conf. Lei nº 13.932/2019)</t>
  </si>
  <si>
    <t>Substituto na Cobertura de Férias (1/12 avos)</t>
  </si>
  <si>
    <t>Substituto na Cobertura de Ausências Legais (por doença)</t>
  </si>
  <si>
    <t>Substituto na Cobertura de Licença Paternidade</t>
  </si>
  <si>
    <t>Substituto na Cobertura Por Acidente de Trabalho</t>
  </si>
  <si>
    <t>Substituto na Cobertura de Licença Maternidade</t>
  </si>
  <si>
    <t>Outros  (Especificar)</t>
  </si>
  <si>
    <t>TOTAL DO SUBMÓDULO 4.1</t>
  </si>
  <si>
    <t>Submódulo 4.2 - Intrajornada</t>
  </si>
  <si>
    <t>Intervalo para Repouso ou Alimentação</t>
  </si>
  <si>
    <t>TOTAL DO SUBMÓDULO 4.2</t>
  </si>
  <si>
    <t>BASE DE CÁLCULO</t>
  </si>
  <si>
    <t>Valor Total Anual</t>
  </si>
  <si>
    <t>Valor Total Mensal</t>
  </si>
  <si>
    <t>Calça</t>
  </si>
  <si>
    <t>2.3</t>
  </si>
  <si>
    <t xml:space="preserve">VALOR UNT (M²) </t>
  </si>
  <si>
    <t>Equipamentos</t>
  </si>
  <si>
    <t>Jaleco manga longa</t>
  </si>
  <si>
    <t>Par de botas de borracha</t>
  </si>
  <si>
    <t xml:space="preserve">INFORMAÇÃO: </t>
  </si>
  <si>
    <r>
      <t>N</t>
    </r>
    <r>
      <rPr>
        <strike/>
        <sz val="11"/>
        <rFont val="Calibri"/>
        <family val="2"/>
        <scheme val="minor"/>
      </rPr>
      <t>º</t>
    </r>
    <r>
      <rPr>
        <sz val="11"/>
        <rFont val="Calibri"/>
        <family val="2"/>
        <scheme val="minor"/>
      </rPr>
      <t xml:space="preserve"> de meses de execução contratual</t>
    </r>
  </si>
  <si>
    <r>
      <t>(1)
PRODUTIVIDADE
(1/M</t>
    </r>
    <r>
      <rPr>
        <vertAlign val="superscript"/>
        <sz val="11"/>
        <rFont val="Calibri"/>
        <family val="2"/>
        <scheme val="minor"/>
      </rPr>
      <t>2</t>
    </r>
    <r>
      <rPr>
        <sz val="11"/>
        <rFont val="Calibri"/>
        <family val="2"/>
        <scheme val="minor"/>
      </rPr>
      <t>)</t>
    </r>
  </si>
  <si>
    <r>
      <t>(1x2)
SUBTOTAL
(R$/M</t>
    </r>
    <r>
      <rPr>
        <vertAlign val="superscript"/>
        <sz val="11"/>
        <rFont val="Calibri"/>
        <family val="2"/>
        <scheme val="minor"/>
      </rPr>
      <t>2</t>
    </r>
    <r>
      <rPr>
        <sz val="11"/>
        <rFont val="Calibri"/>
        <family val="2"/>
        <scheme val="minor"/>
      </rPr>
      <t>)</t>
    </r>
  </si>
  <si>
    <r>
      <t>(4x5)
SUBTOTAL
(R$/M</t>
    </r>
    <r>
      <rPr>
        <vertAlign val="superscript"/>
        <sz val="11"/>
        <rFont val="Calibri"/>
        <family val="2"/>
        <scheme val="minor"/>
      </rPr>
      <t>2</t>
    </r>
    <r>
      <rPr>
        <sz val="11"/>
        <rFont val="Calibri"/>
        <family val="2"/>
        <scheme val="minor"/>
      </rPr>
      <t>)</t>
    </r>
  </si>
  <si>
    <t>Adicional de Hora Noturna Reduzida</t>
  </si>
  <si>
    <t>DÉCIMO TERCEIRO SALÁRIO, FÉRIAS E ADICIONAL DE FÉRIAS</t>
  </si>
  <si>
    <t xml:space="preserve">FGTS (8,0%) </t>
  </si>
  <si>
    <t>SEBRAE</t>
  </si>
  <si>
    <t xml:space="preserve">Base de cálculo: De acordo com a instrução normativa nº 05/2017 anexo VII nota 3, a base de cálculo neste módulo deverá ser a soma: MÓDULO 1 + SUBMÓDULO 2.1. </t>
  </si>
  <si>
    <t xml:space="preserve">BENEFÍCIOS MENSAIS E DIÁRIOS </t>
  </si>
  <si>
    <t xml:space="preserve">Auxílio alimentação </t>
  </si>
  <si>
    <t>3.0</t>
  </si>
  <si>
    <t>Submódulo 4.1 - Ausências Legais</t>
  </si>
  <si>
    <t xml:space="preserve"> QUADRO-RESUMO DO MÓDULO 4 - CUSTO DE REPOSIÇÃO DO PROFISSIONAL AUSENTE</t>
  </si>
  <si>
    <t>Módulo 4 – Encargos sociais e trabalhistas</t>
  </si>
  <si>
    <t>(M-T)      CUSTO TOTAL DA PLANILHA PARA EFEITO DE CÁLCULO DO MÓDULO 5 (M1+M2+M3+M4+M5)</t>
  </si>
  <si>
    <t>Subtotal  para   efeito  de  cálculo  dos Tributos  (MT + MA + MB) FATURAMENTO [(100-8,65)/100]</t>
  </si>
  <si>
    <t>Esquadrias Face Interna e Externa</t>
  </si>
  <si>
    <t>1/9000</t>
  </si>
  <si>
    <t xml:space="preserve">VALOR TOTAL </t>
  </si>
  <si>
    <t>Áreas Hospitalares e Assemelhantes</t>
  </si>
  <si>
    <t>Pisos Pavimentados Adjacentes às Edificações</t>
  </si>
  <si>
    <t>Varrição de Passeios e Arruamentos</t>
  </si>
  <si>
    <t>3</t>
  </si>
  <si>
    <t>Face interna sem exposição a situação de risco</t>
  </si>
  <si>
    <t>Face externa sem exposição a situação de risco</t>
  </si>
  <si>
    <t>Serviços de Higienização e Limpeza Hospitalar, Laboratorial e Ambulatorial - Higienização, Conservação, Desinfecção de Superfícies e Mobiliários e Recolhimento do Lixo Grupo "D"</t>
  </si>
  <si>
    <t>Serviços de Higienização e Limpeza Hospitalar</t>
  </si>
  <si>
    <t>VALOR TOTAL        (Anual)</t>
  </si>
  <si>
    <t>Litro</t>
  </si>
  <si>
    <t>Pacote</t>
  </si>
  <si>
    <t>TOTAL MENSAL POR FUNCIONÁRIO</t>
  </si>
  <si>
    <t>Áreas Operacionais Hospitalares -  Não Críticas</t>
  </si>
  <si>
    <t>Áreas Operacionais Hospitalares - Semi Críticas</t>
  </si>
  <si>
    <t>Áreas Operacionais Hospitalares - Críticas</t>
  </si>
  <si>
    <t>Áreas de Circulação - Não Críticas</t>
  </si>
  <si>
    <t>Pátios e Áreas Verdes com alta Frequência</t>
  </si>
  <si>
    <t>Pátios e Áreas Verdes com média Frequência</t>
  </si>
  <si>
    <t>Pátios e Áreas Verdes com baixa Frequência</t>
  </si>
  <si>
    <t>2.4</t>
  </si>
  <si>
    <t>2.5</t>
  </si>
  <si>
    <t>Centro de Diálise de Ariquemes - CDA</t>
  </si>
  <si>
    <t xml:space="preserve">PLANILHA DE CUSTO </t>
  </si>
  <si>
    <t>INSUMOS DE CONSUMO MENSAL</t>
  </si>
  <si>
    <t>Lixeira plástica telada 10 lts</t>
  </si>
  <si>
    <t>Lixeira com tampa/pedal de L 100 lts</t>
  </si>
  <si>
    <t>Item</t>
  </si>
  <si>
    <t>Discriminação</t>
  </si>
  <si>
    <t>Valor Total (Anual)</t>
  </si>
  <si>
    <t>Valor Total (Mensal)</t>
  </si>
  <si>
    <t>Quantidade (Anual)</t>
  </si>
  <si>
    <t>Vida Útil (Meses)</t>
  </si>
  <si>
    <t>INFORMAÇÃO :</t>
  </si>
  <si>
    <t>Uniformes e EPI's</t>
  </si>
  <si>
    <t>Kilo</t>
  </si>
  <si>
    <t>AUXILIAR DE LIMPEZA</t>
  </si>
  <si>
    <t xml:space="preserve">Auxiliar de Limpeza </t>
  </si>
  <si>
    <t>Unid.</t>
  </si>
  <si>
    <t>Litro.</t>
  </si>
  <si>
    <t>UNID</t>
  </si>
  <si>
    <t>Unid</t>
  </si>
  <si>
    <t>Álcool Liquido 70%</t>
  </si>
  <si>
    <t>unid</t>
  </si>
  <si>
    <t>Balde p/ carro MOP</t>
  </si>
  <si>
    <t>Und.</t>
  </si>
  <si>
    <t>KIT de lixeira padrão para coleta seletiva 50 lts</t>
  </si>
  <si>
    <t>Férias e Adicional de Férias</t>
  </si>
  <si>
    <t>Detergente líquido -  O valor cotado para o referido item foi R$1,51, todavia, o valor corresponde a embalagem com 500 ML, sendo assim, devido o fato de o TR solicitar em embalagem com 1 Litro, o valor unitário corresponde a R$1,51*2 = 3,02.</t>
  </si>
  <si>
    <t>Papel higiênico - O valor cotado para o referido item foi R$32,63, todavia, o valor corresponde a embalgem com 8 rolos, sendo assim, devido o fato de o Adendo estimativa solicitar a unidade, o valor unitário corresponde a R$32,63/8 = 4,08.</t>
  </si>
  <si>
    <t>Saco de Lixo Preto 50 L  - O valor cotado para o referido item foi R$13,83, todavia, o valor corresponde a pacote com 100 unidades, sendo assim, devido o fato de o TR solicitar em unidade, o valor unitário corresponde a R$13,83/100 = 0,14.</t>
  </si>
  <si>
    <t>Saco de Lixo Preto 100 L  - O valor cotado para o referido item foi R$24,00, todavia, o valor corresponde a pacote com 100 unidades, sendo assim, devido o fato de o TR solicitar em unidade, o valor unitário corresponde a R$24,00/100 = 0,24.</t>
  </si>
  <si>
    <t>Saco de Lixo Preto 15 L  - O valor cotado para o referido item foi R$8,38, todavia, o valor corresponde a pacote com 100 unidades, sendo assim, devido o fato de o TR solicitar em unidade, o valor unitário corresponde a R$8,38/100 = 0,08.</t>
  </si>
  <si>
    <t>Saco branco leitoso 100 L  - O valor cotado para o referido item foi R$26,50, todavia, o valor corresponde a pacote com 100 unidades, sendo assim, devido o fato de o TR solicitar em unidade, o valor unitário corresponde a R$26,50/100 = 0,27.</t>
  </si>
  <si>
    <t>Gorro descartável  - O valor cotado para o referido item foi R$6,10, todavia, o valor corresponde a pacote com 100 unidades, sendo assim, devido o fato de o TR solicitar em unidade, o valor unitário corresponde a R$6,10/100 = 0,07.</t>
  </si>
  <si>
    <r>
      <rPr>
        <b/>
        <sz val="11"/>
        <rFont val="Calibri"/>
        <family val="2"/>
        <scheme val="minor"/>
      </rPr>
      <t>INSS</t>
    </r>
    <r>
      <rPr>
        <sz val="11"/>
        <rFont val="Calibri"/>
        <family val="2"/>
        <scheme val="minor"/>
      </rPr>
      <t xml:space="preserve"> (20%)</t>
    </r>
  </si>
  <si>
    <r>
      <rPr>
        <b/>
        <sz val="11"/>
        <rFont val="Calibri"/>
        <family val="2"/>
        <scheme val="minor"/>
      </rPr>
      <t>SESI OU SESC</t>
    </r>
    <r>
      <rPr>
        <sz val="11"/>
        <rFont val="Calibri"/>
        <family val="2"/>
        <scheme val="minor"/>
      </rPr>
      <t xml:space="preserve"> (1,5%)</t>
    </r>
  </si>
  <si>
    <r>
      <rPr>
        <b/>
        <sz val="11"/>
        <rFont val="Calibri"/>
        <family val="2"/>
        <scheme val="minor"/>
      </rPr>
      <t>SENAI OU SENAC</t>
    </r>
    <r>
      <rPr>
        <sz val="11"/>
        <rFont val="Calibri"/>
        <family val="2"/>
        <scheme val="minor"/>
      </rPr>
      <t xml:space="preserve"> (1,0%)</t>
    </r>
  </si>
  <si>
    <r>
      <rPr>
        <b/>
        <sz val="11"/>
        <rFont val="Calibri"/>
        <family val="2"/>
        <scheme val="minor"/>
      </rPr>
      <t xml:space="preserve">INCRA </t>
    </r>
    <r>
      <rPr>
        <sz val="11"/>
        <rFont val="Calibri"/>
        <family val="2"/>
        <scheme val="minor"/>
      </rPr>
      <t>(0,20% ou  2,7%) - IN nº971, MPS/SRP/2009, Anexo I e II ver código da Tabela</t>
    </r>
  </si>
  <si>
    <r>
      <rPr>
        <b/>
        <sz val="11"/>
        <rFont val="Calibri"/>
        <family val="2"/>
        <scheme val="minor"/>
      </rPr>
      <t>SALÁRIO EDUCAÇÃO</t>
    </r>
    <r>
      <rPr>
        <sz val="11"/>
        <rFont val="Calibri"/>
        <family val="2"/>
        <scheme val="minor"/>
      </rPr>
      <t xml:space="preserve"> (2,5%)</t>
    </r>
  </si>
  <si>
    <r>
      <rPr>
        <b/>
        <sz val="11"/>
        <rFont val="Calibri"/>
        <family val="2"/>
        <scheme val="minor"/>
      </rPr>
      <t>RAT X SAT (Conforme GFIP)</t>
    </r>
    <r>
      <rPr>
        <sz val="11"/>
        <rFont val="Calibri"/>
        <family val="2"/>
        <scheme val="minor"/>
      </rPr>
      <t xml:space="preserve"> (Riscos Ambientais do Trabalho) (Sat/Inss(médio)) (Riscos: Leve 1,0%, Médio 2,0%, Grave 3,0% - veja Decreto 3048/99 - Anexo V (CNAE de 1% a 3% FAP de 0,5 a 2,0)</t>
    </r>
  </si>
  <si>
    <t>1/380</t>
  </si>
  <si>
    <t>1.1.4</t>
  </si>
  <si>
    <t>1.1.5</t>
  </si>
  <si>
    <t>Áreas de Circulação - Semi Críticas</t>
  </si>
  <si>
    <t>Áreas Operacionais Administrativas</t>
  </si>
  <si>
    <t>UNIDADE</t>
  </si>
  <si>
    <t>Áreas Administrativas</t>
  </si>
  <si>
    <t>1/650</t>
  </si>
  <si>
    <r>
      <rPr>
        <b/>
        <sz val="11"/>
        <rFont val="Calibri"/>
        <family val="2"/>
        <scheme val="minor"/>
      </rPr>
      <t xml:space="preserve">Detergente Líquido - </t>
    </r>
    <r>
      <rPr>
        <sz val="11"/>
        <rFont val="Calibri"/>
        <family val="2"/>
        <scheme val="minor"/>
      </rPr>
      <t xml:space="preserve">Composição: tensoativo aniônico, solubilizantes, umectantes, e preservantes biodegradáveis e água. Produto concentrado e neutro. Aspecto: Líquido; Produto </t>
    </r>
    <r>
      <rPr>
        <u/>
        <sz val="11"/>
        <rFont val="Calibri"/>
        <family val="2"/>
        <scheme val="minor"/>
      </rPr>
      <t>notificado</t>
    </r>
    <r>
      <rPr>
        <sz val="11"/>
        <rFont val="Calibri"/>
        <family val="2"/>
        <scheme val="minor"/>
      </rPr>
      <t xml:space="preserve"> na ANVISA e destinado à limpeza de superfícies através da diminuição da tensão superficial, conforme RDC nº 40 de 5 de junho de 2008.</t>
    </r>
  </si>
  <si>
    <r>
      <rPr>
        <b/>
        <sz val="11"/>
        <rFont val="Calibri"/>
        <family val="2"/>
        <scheme val="minor"/>
      </rPr>
      <t xml:space="preserve">Desinfetante concentrado – </t>
    </r>
    <r>
      <rPr>
        <sz val="11"/>
        <rFont val="Calibri"/>
        <family val="2"/>
        <scheme val="minor"/>
      </rPr>
      <t>Limpador desinfetante indicado na limpeza
e desinfecção de superfícies laváveis, tais como, pisos, azulejos, louças sanitárias, eliminando 99,9% das bactérias.</t>
    </r>
  </si>
  <si>
    <r>
      <rPr>
        <b/>
        <sz val="11"/>
        <rFont val="Calibri"/>
        <family val="2"/>
        <scheme val="minor"/>
      </rPr>
      <t xml:space="preserve">Esponja de limpeza dupla face - </t>
    </r>
    <r>
      <rPr>
        <sz val="11"/>
        <rFont val="Calibri"/>
        <family val="2"/>
        <scheme val="minor"/>
      </rPr>
      <t>Manta não tecido, de fibras sintéticas, unidas com resina a prova d'água, impregnada com mineral abrasivo e aderida a espuma de poliuretano, formato retangular, cor: Amarelo
(espuma) e verde (fibra), tamanho: 110 mm x 75mm x 20mm.</t>
    </r>
  </si>
  <si>
    <r>
      <rPr>
        <b/>
        <sz val="11"/>
        <rFont val="Calibri"/>
        <family val="2"/>
        <scheme val="minor"/>
      </rPr>
      <t xml:space="preserve">Pano multiuso- </t>
    </r>
    <r>
      <rPr>
        <sz val="11"/>
        <rFont val="Calibri"/>
        <family val="2"/>
        <scheme val="minor"/>
      </rPr>
      <t>para limpeza em geral, algodão, tamanho 28x40 240m por rôlo.</t>
    </r>
  </si>
  <si>
    <r>
      <rPr>
        <b/>
        <sz val="11"/>
        <rFont val="Calibri"/>
        <family val="2"/>
        <scheme val="minor"/>
      </rPr>
      <t xml:space="preserve">Limpa vidro </t>
    </r>
    <r>
      <rPr>
        <sz val="11"/>
        <rFont val="Calibri"/>
        <family val="2"/>
        <scheme val="minor"/>
      </rPr>
      <t xml:space="preserve">- Limpa vidro, tipo líquido. A embalagem deverá conter externamente os dados de identificação, procedência, número do lote, validade e número de registro no Ministério da Saúde. Produto destinado à limpeza de superfícies inanimadas, </t>
    </r>
    <r>
      <rPr>
        <u/>
        <sz val="11"/>
        <rFont val="Calibri"/>
        <family val="2"/>
        <scheme val="minor"/>
      </rPr>
      <t>notificado</t>
    </r>
    <r>
      <rPr>
        <sz val="11"/>
        <rFont val="Calibri"/>
        <family val="2"/>
        <scheme val="minor"/>
      </rPr>
      <t xml:space="preserve"> na ANVISA conforme RDC nº 40 de 5 de junho de 2008.</t>
    </r>
  </si>
  <si>
    <r>
      <rPr>
        <b/>
        <sz val="11"/>
        <rFont val="Calibri"/>
        <family val="2"/>
        <scheme val="minor"/>
      </rPr>
      <t xml:space="preserve">Pano de Chão </t>
    </r>
    <r>
      <rPr>
        <sz val="11"/>
        <rFont val="Calibri"/>
        <family val="2"/>
        <scheme val="minor"/>
      </rPr>
      <t>- 100% algodão liso, cru, na cor branca. Medidas aproximadas 40 x 70 cm. Margem de variação 10%.</t>
    </r>
  </si>
  <si>
    <r>
      <rPr>
        <b/>
        <sz val="11"/>
        <rFont val="Calibri"/>
        <family val="2"/>
        <scheme val="minor"/>
      </rPr>
      <t xml:space="preserve">Papel Higiênico </t>
    </r>
    <r>
      <rPr>
        <sz val="11"/>
        <rFont val="Calibri"/>
        <family val="2"/>
        <scheme val="minor"/>
      </rPr>
      <t>- Material: 100% fibra celulósica virgem, Cor: branca, Apresentação: folha simples, de alta qualidade, textura macia, picotada, Dimensões: 10 cm x 300mt, em rolo.</t>
    </r>
  </si>
  <si>
    <r>
      <rPr>
        <b/>
        <sz val="11"/>
        <rFont val="Calibri"/>
        <family val="2"/>
        <scheme val="minor"/>
      </rPr>
      <t xml:space="preserve">Papel Toalha Interfolhado </t>
    </r>
    <r>
      <rPr>
        <sz val="11"/>
        <rFont val="Calibri"/>
        <family val="2"/>
        <scheme val="minor"/>
      </rPr>
      <t>- Tipo 02 dobras. 100% fibra celulósica virgem, não reciclado. Qualidade do papel: sem sujidade, homogênea, suave e macio, resistente, com excelente absorção, neutro. Formato: 23cm x 23cm (529 cm2 por folha), aproximadamente, tolerância máxima de 1,5cm de cada lado.
Embalagem plástica ou tipo papel kraft com 1000 folhas para uso em dispenser. Atende requisitos da ABNT NBR 15464-
7:2007.</t>
    </r>
  </si>
  <si>
    <r>
      <rPr>
        <b/>
        <sz val="11"/>
        <rFont val="Calibri"/>
        <family val="2"/>
        <scheme val="minor"/>
      </rPr>
      <t xml:space="preserve">Sabonete Líquido </t>
    </r>
    <r>
      <rPr>
        <sz val="11"/>
        <rFont val="Calibri"/>
        <family val="2"/>
        <scheme val="minor"/>
      </rPr>
      <t xml:space="preserve">- Sabonete líquido para lavagem das mãos, Ph Neutro,
pronto para uso, glicerinado de baixa irritação dérmica, Registro no M.S., com identificação de procedência. Produto </t>
    </r>
    <r>
      <rPr>
        <u/>
        <sz val="11"/>
        <rFont val="Calibri"/>
        <family val="2"/>
        <scheme val="minor"/>
      </rPr>
      <t>notificado</t>
    </r>
    <r>
      <rPr>
        <sz val="11"/>
        <rFont val="Calibri"/>
        <family val="2"/>
        <scheme val="minor"/>
      </rPr>
      <t xml:space="preserve"> na ANVISA como produto de higiene pessoal ou cosmético e classificado como Grau 1 de acordo com a RDC nº 7 de 10 de fevereiro de 2015.</t>
    </r>
  </si>
  <si>
    <r>
      <rPr>
        <b/>
        <sz val="11"/>
        <rFont val="Calibri"/>
        <family val="2"/>
        <scheme val="minor"/>
      </rPr>
      <t xml:space="preserve">Palha de Aço - </t>
    </r>
    <r>
      <rPr>
        <sz val="11"/>
        <rFont val="Calibri"/>
        <family val="2"/>
        <scheme val="minor"/>
      </rPr>
      <t>Palha de aço n° 2, material aço carbono, abrasividade média. Aplicação: limpeza em geral.</t>
    </r>
  </si>
  <si>
    <r>
      <rPr>
        <b/>
        <sz val="11"/>
        <rFont val="Calibri"/>
        <family val="2"/>
        <scheme val="minor"/>
      </rPr>
      <t xml:space="preserve">Esponja de Aço - </t>
    </r>
    <r>
      <rPr>
        <sz val="11"/>
        <rFont val="Calibri"/>
        <family val="2"/>
        <scheme val="minor"/>
      </rPr>
      <t>Esponja de lã de aço, formato retangular, aplicação limpeza geral, textura macia e isenta de sinais de oxidação, medindo, no mínimo, 100mmx75mm. Composição: lã de aço carbono. Pacote com 14
embalagens de 08 unidades.</t>
    </r>
  </si>
  <si>
    <r>
      <rPr>
        <b/>
        <sz val="11"/>
        <rFont val="Calibri"/>
        <family val="2"/>
        <scheme val="minor"/>
      </rPr>
      <t xml:space="preserve">Refil para MOP úmido com garra: </t>
    </r>
    <r>
      <rPr>
        <sz val="11"/>
        <rFont val="Calibri"/>
        <family val="2"/>
        <scheme val="minor"/>
      </rPr>
      <t>composto por fios 85% algodão e 15% poliéster, alto poder de absorção e resistência com pontas em loop. Medidas: 35cm (comprimento), 17cm (largura), 7cm (altura), 400gr (peso), cor cru; possui cinta. Compatível com o mop úmido loop com cinta. Produto com etiqueta contendo dados de identificação do produto e marca do fabricante</t>
    </r>
  </si>
  <si>
    <r>
      <rPr>
        <b/>
        <sz val="11"/>
        <rFont val="Calibri"/>
        <family val="2"/>
        <scheme val="minor"/>
      </rPr>
      <t xml:space="preserve">Soda cáustica (Hidróxido de sódio) </t>
    </r>
    <r>
      <rPr>
        <sz val="11"/>
        <rFont val="Calibri"/>
        <family val="2"/>
        <scheme val="minor"/>
      </rPr>
      <t xml:space="preserve">- Com 98 a 99%, em escamas. Embalagem de 1000g. Produto </t>
    </r>
    <r>
      <rPr>
        <u/>
        <sz val="11"/>
        <rFont val="Calibri"/>
        <family val="2"/>
        <scheme val="minor"/>
      </rPr>
      <t>registrado</t>
    </r>
    <r>
      <rPr>
        <sz val="11"/>
        <rFont val="Calibri"/>
        <family val="2"/>
        <scheme val="minor"/>
      </rPr>
      <t xml:space="preserve"> na ANVISA como saneante de Risco II conforme RDC n. 59/2010, ANVISA.</t>
    </r>
  </si>
  <si>
    <r>
      <rPr>
        <b/>
        <sz val="11"/>
        <rFont val="Calibri"/>
        <family val="2"/>
        <scheme val="minor"/>
      </rPr>
      <t xml:space="preserve">Máscara N 95 </t>
    </r>
    <r>
      <rPr>
        <sz val="11"/>
        <rFont val="Calibri"/>
        <family val="2"/>
        <scheme val="minor"/>
      </rPr>
      <t>- Classe PFF-2, Recomendado para proteção das vias respiratórias e redução da exposição contra aerossóis, certificadas pelo Ministério do Trabalho e Emprego- Eficiência mínima de filtragem de 94% - BFE &gt; 99% (Eficiência de Filtração Bacteriológica), tamanho regular, formato em concha. Aprovado pelo Ministério do Trabalho e Emprego pelo Certificado de Aprovação (CA) e Registro do Ministério da Saúde (ANVISA).</t>
    </r>
  </si>
  <si>
    <r>
      <rPr>
        <b/>
        <sz val="11"/>
        <rFont val="Calibri"/>
        <family val="2"/>
        <scheme val="minor"/>
      </rPr>
      <t xml:space="preserve">Luva de Borracha Cano Longo - </t>
    </r>
    <r>
      <rPr>
        <sz val="11"/>
        <rFont val="Calibri"/>
        <family val="2"/>
        <scheme val="minor"/>
      </rPr>
      <t>Luva para limpeza. Confeccionada em látex natural, formato anatômico, adequada elasticidade, ajuste confortável às mãos, antialérgica, com espessura uniforme, isenta de emendas, imperfeições, orifícios, porosidade, bolhas e incrustações de corpos estranhos. Com superfície externa antiderrapante(na palma e dedos). Apresentar boa resistência e 100% impermeável, com forro
levemente talcado. Contendo Certificado de Aprovação. Tamanhos variados CORES : VERDE, AMARELA E AZUL</t>
    </r>
  </si>
  <si>
    <r>
      <rPr>
        <b/>
        <sz val="11"/>
        <rFont val="Calibri"/>
        <family val="2"/>
        <scheme val="minor"/>
      </rPr>
      <t xml:space="preserve">Saco de Lixo Preto 50 L </t>
    </r>
    <r>
      <rPr>
        <sz val="11"/>
        <rFont val="Calibri"/>
        <family val="2"/>
        <scheme val="minor"/>
      </rPr>
      <t>- Saco de lixo preto, não transparente, confeccionado em resina termoplástica de alta resistência, compatível com a sua capacidade para acondicionamento de resíduos comuns. Capacidade 50L, 10kg. Devendo estar em conformidade com as Normas
ABNT NBR 9190/9191/13055/13056.</t>
    </r>
  </si>
  <si>
    <r>
      <rPr>
        <b/>
        <sz val="11"/>
        <rFont val="Calibri"/>
        <family val="2"/>
        <scheme val="minor"/>
      </rPr>
      <t xml:space="preserve">Saco de Lixo Preto 15 L - </t>
    </r>
    <r>
      <rPr>
        <sz val="11"/>
        <rFont val="Calibri"/>
        <family val="2"/>
        <scheme val="minor"/>
      </rPr>
      <t>Saco de lixo preto, não transparente, confeccionado em resina termoplástica de alta resistência, compatível com a sua capacidade para acondicionamento de resíduos comuns.
Capacidade 15L, 5kg. Devendo estar em conformidade com as NormasABNT NBR 9190/9191/13055/13056</t>
    </r>
  </si>
  <si>
    <r>
      <rPr>
        <b/>
        <sz val="11"/>
        <rFont val="Calibri"/>
        <family val="2"/>
        <scheme val="minor"/>
      </rPr>
      <t xml:space="preserve">Saco de Lixo Preto 100 L - </t>
    </r>
    <r>
      <rPr>
        <sz val="11"/>
        <rFont val="Calibri"/>
        <family val="2"/>
        <scheme val="minor"/>
      </rPr>
      <t>Saco de lixo preto, não transparente, confeccionado em resina termoplástica de alta resistência, compatível com a sua capacidade para acondicionamento de resíduos comuns.
Capacidade 100L, 20kg. Devendo estar em conformidade com as Normas ABNT NBR 9190/9191/13055/13056.</t>
    </r>
  </si>
  <si>
    <r>
      <rPr>
        <b/>
        <sz val="11"/>
        <rFont val="Calibri"/>
        <family val="2"/>
        <scheme val="minor"/>
      </rPr>
      <t xml:space="preserve">Saco branco leitoso 100 L - </t>
    </r>
    <r>
      <rPr>
        <sz val="11"/>
        <rFont val="Calibri"/>
        <family val="2"/>
        <scheme val="minor"/>
      </rPr>
      <t>Saco de lixo branco, confeccionado em resina termoplástica de alta resistência, compatível com a sua capacidade para acondicionamento de resíduos infectantes. Devendo estar em conformidade com as Normas ABNT NBR 9190/9191/13055/13056</t>
    </r>
  </si>
  <si>
    <r>
      <rPr>
        <b/>
        <sz val="11"/>
        <rFont val="Calibri"/>
        <family val="2"/>
        <scheme val="minor"/>
      </rPr>
      <t xml:space="preserve">Máscara cirúrgica: </t>
    </r>
    <r>
      <rPr>
        <sz val="11"/>
        <rFont val="Calibri"/>
        <family val="2"/>
        <scheme val="minor"/>
      </rPr>
      <t>polipropileno não tecido. Múltiplas camadas para filtragem de partículas e respingos. Clipe nasal ajustável, elástico para eficiência de fixação e filtração.</t>
    </r>
  </si>
  <si>
    <r>
      <rPr>
        <b/>
        <sz val="11"/>
        <rFont val="Calibri"/>
        <family val="2"/>
        <scheme val="minor"/>
      </rPr>
      <t xml:space="preserve">Gorro descartável: </t>
    </r>
    <r>
      <rPr>
        <sz val="11"/>
        <rFont val="Calibri"/>
        <family val="2"/>
        <scheme val="minor"/>
      </rPr>
      <t>Fabricado em polipropileno ou SMS (Spunbond- Meltblown-Spunbond), que são materiais leves, respiráveis e resistentes.</t>
    </r>
  </si>
  <si>
    <r>
      <rPr>
        <b/>
        <sz val="11"/>
        <rFont val="Calibri"/>
        <family val="2"/>
        <scheme val="minor"/>
      </rPr>
      <t xml:space="preserve">Álcool em gel hidratado 70% </t>
    </r>
    <r>
      <rPr>
        <sz val="11"/>
        <rFont val="Calibri"/>
        <family val="2"/>
        <scheme val="minor"/>
      </rPr>
      <t xml:space="preserve">- Produto </t>
    </r>
    <r>
      <rPr>
        <u/>
        <sz val="11"/>
        <rFont val="Calibri"/>
        <family val="2"/>
        <scheme val="minor"/>
      </rPr>
      <t>registrado</t>
    </r>
    <r>
      <rPr>
        <sz val="11"/>
        <rFont val="Calibri"/>
        <family val="2"/>
        <scheme val="minor"/>
      </rPr>
      <t xml:space="preserve"> na ANVISA como produto de higiene pessoal ou cosmético e classificado como Grau 2 de acordo com a RDC nº 7 de 10 de fevereiro de 2015. Concentração final mínima de 70%, com atividade antibacteriana comprovada e com emolientes para evitar ressecamento da pele.</t>
    </r>
  </si>
  <si>
    <r>
      <rPr>
        <b/>
        <sz val="11"/>
        <rFont val="Calibri"/>
        <family val="2"/>
        <scheme val="minor"/>
      </rPr>
      <t xml:space="preserve">Carro MOP </t>
    </r>
    <r>
      <rPr>
        <sz val="11"/>
        <rFont val="Calibri"/>
        <family val="2"/>
        <scheme val="minor"/>
      </rPr>
      <t>- Estrutura de plástico ABS de alta resistência, contendo 02 baldes de 25 L cada, espremedor acoplado e refil de algodão ultra absorvente. Cabo medindo no mínimo 1,20 m, alavanca e alças em aço de alta resistência, rodas articuladas, emborrachadas, montadas com simples encaixe no eixo galvanizado de aço maciço, que garanta fácil manuseio e o mínimo nível de ruído durante a operação. Alta durabilidade e resistência a impactos.</t>
    </r>
  </si>
  <si>
    <r>
      <rPr>
        <b/>
        <sz val="11"/>
        <rFont val="Calibri"/>
        <family val="2"/>
        <scheme val="minor"/>
      </rPr>
      <t xml:space="preserve">Rastelo de metal </t>
    </r>
    <r>
      <rPr>
        <sz val="11"/>
        <rFont val="Calibri"/>
        <family val="2"/>
        <scheme val="minor"/>
      </rPr>
      <t>– Padrão com cabo de madeira</t>
    </r>
  </si>
  <si>
    <r>
      <rPr>
        <b/>
        <sz val="11"/>
        <rFont val="Calibri"/>
        <family val="2"/>
        <scheme val="minor"/>
      </rPr>
      <t xml:space="preserve">Escada Portátil </t>
    </r>
    <r>
      <rPr>
        <sz val="11"/>
        <rFont val="Calibri"/>
        <family val="2"/>
        <scheme val="minor"/>
      </rPr>
      <t>- Fabricada em alumínio, dobrável, tamanho: 3 metros.</t>
    </r>
  </si>
  <si>
    <r>
      <rPr>
        <b/>
        <sz val="11"/>
        <rFont val="Calibri"/>
        <family val="2"/>
        <scheme val="minor"/>
      </rPr>
      <t>Placa de sinalização para piso molhad</t>
    </r>
    <r>
      <rPr>
        <sz val="11"/>
        <rFont val="Calibri"/>
        <family val="2"/>
        <scheme val="minor"/>
      </rPr>
      <t>o - Texto: “Cuidado Piso Molhado”. Composição: Polipropileno injetado. Dimensão aproximada: 65 (altura) x 35 (largura).</t>
    </r>
  </si>
  <si>
    <r>
      <rPr>
        <b/>
        <sz val="11"/>
        <rFont val="Calibri"/>
        <family val="2"/>
        <scheme val="minor"/>
      </rPr>
      <t>Extensão elétrica</t>
    </r>
    <r>
      <rPr>
        <sz val="11"/>
        <rFont val="Calibri"/>
        <family val="2"/>
        <scheme val="minor"/>
      </rPr>
      <t>- Comprimento 20 metros. Com dupla isolação</t>
    </r>
  </si>
  <si>
    <r>
      <rPr>
        <b/>
        <sz val="11"/>
        <rFont val="Calibri"/>
        <family val="2"/>
        <scheme val="minor"/>
      </rPr>
      <t xml:space="preserve">Pá de aço - </t>
    </r>
    <r>
      <rPr>
        <sz val="11"/>
        <rFont val="Calibri"/>
        <family val="2"/>
        <scheme val="minor"/>
      </rPr>
      <t>Fabricada em aço reforçado para coleta de entulho externo. Comprimento aproximado do cabo:700 mm, Material do cabo: Madeira.</t>
    </r>
  </si>
  <si>
    <r>
      <rPr>
        <b/>
        <sz val="11"/>
        <rFont val="Calibri"/>
        <family val="2"/>
        <scheme val="minor"/>
      </rPr>
      <t xml:space="preserve">Mangueira </t>
    </r>
    <r>
      <rPr>
        <sz val="11"/>
        <rFont val="Calibri"/>
        <family val="2"/>
        <scheme val="minor"/>
      </rPr>
      <t>- Reforçada,3/4, flexível, baixa dureza. Comprimento: 30 metros.</t>
    </r>
  </si>
  <si>
    <r>
      <rPr>
        <b/>
        <sz val="11"/>
        <rFont val="Calibri"/>
        <family val="2"/>
        <scheme val="minor"/>
      </rPr>
      <t xml:space="preserve">Vassoura para limpeza de vasos sanitários - </t>
    </r>
    <r>
      <rPr>
        <sz val="11"/>
        <rFont val="Calibri"/>
        <family val="2"/>
        <scheme val="minor"/>
      </rPr>
      <t>Escova plástica, resistente, com cerdas em nylon, formato arredondado, tamanho grande, cor branca, com suporte. Medindo aproximadamente 14x42cm.</t>
    </r>
  </si>
  <si>
    <r>
      <rPr>
        <b/>
        <sz val="11"/>
        <rFont val="Calibri"/>
        <family val="2"/>
        <scheme val="minor"/>
      </rPr>
      <t xml:space="preserve">Rodo - </t>
    </r>
    <r>
      <rPr>
        <sz val="11"/>
        <rFont val="Calibri"/>
        <family val="2"/>
        <scheme val="minor"/>
      </rPr>
      <t>Rodo de alta resistência. Tamanho: Base 60 cm; Cabo 1,30m, aproximadamente. Com lâmina dupla de borracha reforçada.</t>
    </r>
  </si>
  <si>
    <r>
      <rPr>
        <b/>
        <sz val="11"/>
        <rFont val="Calibri"/>
        <family val="2"/>
        <scheme val="minor"/>
      </rPr>
      <t xml:space="preserve">Avental Impermeável </t>
    </r>
    <r>
      <rPr>
        <sz val="11"/>
        <rFont val="Calibri"/>
        <family val="2"/>
        <scheme val="minor"/>
      </rPr>
      <t>- Longo, confeccionado em PVC, manga longa, com forro interno e elástico nos punhos, 100% impermeável e lavável.</t>
    </r>
  </si>
  <si>
    <r>
      <rPr>
        <b/>
        <sz val="11"/>
        <rFont val="Calibri"/>
        <family val="2"/>
        <scheme val="minor"/>
      </rPr>
      <t xml:space="preserve">Balde (15 lt) </t>
    </r>
    <r>
      <rPr>
        <sz val="11"/>
        <rFont val="Calibri"/>
        <family val="2"/>
        <scheme val="minor"/>
      </rPr>
      <t>- Balde plástico, em polietileno de alta densidade, resistente a impacto, paredes e fundos reforçados. Alça em aço zincado. Capacidade para 15 L. O produto deve ter identificação da marca, do fabricante e capacidade.</t>
    </r>
  </si>
  <si>
    <r>
      <rPr>
        <b/>
        <sz val="11"/>
        <rFont val="Calibri"/>
        <family val="2"/>
        <scheme val="minor"/>
      </rPr>
      <t xml:space="preserve">Vassoura de Vasculhar </t>
    </r>
    <r>
      <rPr>
        <sz val="11"/>
        <rFont val="Calibri"/>
        <family val="2"/>
        <scheme val="minor"/>
      </rPr>
      <t>- Espanador de microfibra. Lavável. Dobrável. Cabo de no mínimo 2m.</t>
    </r>
  </si>
  <si>
    <r>
      <rPr>
        <b/>
        <sz val="11"/>
        <rFont val="Calibri"/>
        <family val="2"/>
        <scheme val="minor"/>
      </rPr>
      <t xml:space="preserve">MOP seco: </t>
    </r>
    <r>
      <rPr>
        <sz val="11"/>
        <rFont val="Calibri"/>
        <family val="2"/>
        <scheme val="minor"/>
      </rPr>
      <t>equipamento de limpeza utilizado para remover poeira de particulas finas de diversas superficies. Composto por uma base com cabo com um refil de  microfibra ou outro material sintético.</t>
    </r>
  </si>
  <si>
    <r>
      <rPr>
        <b/>
        <sz val="11"/>
        <rFont val="Calibri"/>
        <family val="2"/>
        <scheme val="minor"/>
      </rPr>
      <t xml:space="preserve">Dispenser para Álcool Gel com reservatório </t>
    </r>
    <r>
      <rPr>
        <sz val="11"/>
        <rFont val="Calibri"/>
        <family val="2"/>
        <scheme val="minor"/>
      </rPr>
      <t>- base e tampa fabricado em material termoplástico de alta qualidade e resistência ao impacto, com capacidade aprox de 800 ml.</t>
    </r>
  </si>
  <si>
    <r>
      <rPr>
        <b/>
        <sz val="11"/>
        <rFont val="Calibri"/>
        <family val="2"/>
        <scheme val="minor"/>
      </rPr>
      <t xml:space="preserve">Dispenser para Papel Toalha Interfolhado </t>
    </r>
    <r>
      <rPr>
        <sz val="11"/>
        <rFont val="Calibri"/>
        <family val="2"/>
        <scheme val="minor"/>
      </rPr>
      <t>- com tampa frontal basculante, fechadura de segurança e janela para inspeção do nível de papel remanescente, fabricado em plástico de alta resistência, capacidade para 600 toalhas.</t>
    </r>
  </si>
  <si>
    <r>
      <rPr>
        <b/>
        <sz val="11"/>
        <rFont val="Calibri"/>
        <family val="2"/>
        <scheme val="minor"/>
      </rPr>
      <t xml:space="preserve">Dispenser para Papel Higiênico </t>
    </r>
    <r>
      <rPr>
        <sz val="11"/>
        <rFont val="Calibri"/>
        <family val="2"/>
        <scheme val="minor"/>
      </rPr>
      <t>- fabricado em material termoplástico de alta qualidade, resistente ao impacto, com capacidade para rolos de 300 metros.</t>
    </r>
  </si>
  <si>
    <r>
      <rPr>
        <b/>
        <sz val="11"/>
        <rFont val="Calibri"/>
        <family val="2"/>
        <scheme val="minor"/>
      </rPr>
      <t xml:space="preserve">Lixeira com tampa/pedal de L 30 lts </t>
    </r>
    <r>
      <rPr>
        <sz val="11"/>
        <rFont val="Calibri"/>
        <family val="2"/>
        <scheme val="minor"/>
      </rPr>
      <t>- Recipiente com tampa de encaixe justo e sobreposto, pedal (silencioso). Cantos arredondados, contornos lisos, toda em plástico resistente, revestimento interno rígido e resistente a vazamento.</t>
    </r>
  </si>
  <si>
    <r>
      <rPr>
        <b/>
        <sz val="11"/>
        <rFont val="Calibri"/>
        <family val="2"/>
        <scheme val="minor"/>
      </rPr>
      <t xml:space="preserve">Lixeira com tampa/pedal de L 50 lts </t>
    </r>
    <r>
      <rPr>
        <sz val="11"/>
        <rFont val="Calibri"/>
        <family val="2"/>
        <scheme val="minor"/>
      </rPr>
      <t>- Recipiente com tampa de encaixe justo e sobreposto, pedal (silencioso). Cantos arredondados, contornos lisos, toda em plástico resistente, revestimento interno rígido e resistente a vazamento. Cor azul.</t>
    </r>
  </si>
  <si>
    <r>
      <rPr>
        <b/>
        <sz val="11"/>
        <rFont val="Calibri"/>
        <family val="2"/>
        <scheme val="minor"/>
      </rPr>
      <t xml:space="preserve">Carros Coletor para Transporte Interno de Resíduos Hospitalares </t>
    </r>
    <r>
      <rPr>
        <sz val="11"/>
        <rFont val="Calibri"/>
        <family val="2"/>
        <scheme val="minor"/>
      </rPr>
      <t>- Polipropileno, retangular, medindo 550 x 735 x 1070 mm, com tampa, pedal e capacidade para 240 litros, com rodas emborrachadas de diâmetro de 200mm e montadas com simples encaixe no eixo galvanizado de aço maciço, que garanta fácil manuseio e o mínimo nível de ruído durante a operação. Alta durabilidade e resistência a impactos.</t>
    </r>
  </si>
  <si>
    <r>
      <rPr>
        <b/>
        <sz val="11"/>
        <rFont val="Calibri"/>
        <family val="2"/>
        <scheme val="minor"/>
      </rPr>
      <t xml:space="preserve">Máquina tipo Tanquinho – </t>
    </r>
    <r>
      <rPr>
        <sz val="11"/>
        <rFont val="Calibri"/>
        <family val="2"/>
        <scheme val="minor"/>
      </rPr>
      <t>Lavadora de roupa semi automático para lavagem panos</t>
    </r>
  </si>
  <si>
    <r>
      <rPr>
        <b/>
        <sz val="11"/>
        <rFont val="Calibri"/>
        <family val="2"/>
        <scheme val="minor"/>
      </rPr>
      <t xml:space="preserve">Máquina Lavadora de Alta Pressão </t>
    </r>
    <r>
      <rPr>
        <sz val="11"/>
        <rFont val="Calibri"/>
        <family val="2"/>
        <scheme val="minor"/>
      </rPr>
      <t>- Pressão mínima 1305psi, potência 1.700W.</t>
    </r>
  </si>
  <si>
    <r>
      <rPr>
        <b/>
        <sz val="11"/>
        <rFont val="Calibri"/>
        <family val="2"/>
        <scheme val="minor"/>
      </rPr>
      <t xml:space="preserve">Diluidor de produtos químicos: Material: </t>
    </r>
    <r>
      <rPr>
        <sz val="11"/>
        <rFont val="Calibri"/>
        <family val="2"/>
        <scheme val="minor"/>
      </rPr>
      <t xml:space="preserve">Fabricado geralmente em materiais resistentes a produtos químicos, como polipropileno, PVC ou aço inoxidável, dependendo da aplicação e dos produtos a serem diluídos. </t>
    </r>
    <r>
      <rPr>
        <b/>
        <sz val="11"/>
        <rFont val="Calibri"/>
        <family val="2"/>
        <scheme val="minor"/>
      </rPr>
      <t xml:space="preserve">Capacidade: </t>
    </r>
    <r>
      <rPr>
        <sz val="11"/>
        <rFont val="Calibri"/>
        <family val="2"/>
        <scheme val="minor"/>
      </rPr>
      <t>Disponível em diversas capacidades, que variam de frascos de pequenos volumes (1L, 5L) a tanques de grande porte (50L, 100L ou mais), conforme a necessidade do usuário.</t>
    </r>
  </si>
  <si>
    <r>
      <rPr>
        <b/>
        <sz val="11"/>
        <rFont val="Calibri"/>
        <family val="2"/>
        <scheme val="minor"/>
      </rPr>
      <t xml:space="preserve">Lixeira com tampa/pedal de L 15 lts (lixo comum) </t>
    </r>
    <r>
      <rPr>
        <sz val="11"/>
        <rFont val="Calibri"/>
        <family val="2"/>
        <scheme val="minor"/>
      </rPr>
      <t>- Recipiente com tampa de encaixe justo e sobreposto, pedal (silencioso). Cantos arredondados, contornos lisos, toda em plástico resistente, revestimento interno rígido e resistente a vazamento.</t>
    </r>
  </si>
  <si>
    <r>
      <rPr>
        <b/>
        <sz val="11"/>
        <rFont val="Calibri"/>
        <family val="2"/>
        <scheme val="minor"/>
      </rPr>
      <t xml:space="preserve">Pá de lixo- </t>
    </r>
    <r>
      <rPr>
        <sz val="11"/>
        <rFont val="Calibri"/>
        <family val="2"/>
        <scheme val="minor"/>
      </rPr>
      <t>Pá de lixo plástica 24x16,5x7. Cabo longo de no mínimo 80 cm.</t>
    </r>
  </si>
  <si>
    <r>
      <rPr>
        <b/>
        <sz val="11"/>
        <rFont val="Calibri"/>
        <family val="2"/>
        <scheme val="minor"/>
      </rPr>
      <t xml:space="preserve">Vassourão </t>
    </r>
    <r>
      <rPr>
        <sz val="11"/>
        <rFont val="Calibri"/>
        <family val="2"/>
        <scheme val="minor"/>
      </rPr>
      <t>– Tipo Gari de madeira para varissão de pátio</t>
    </r>
  </si>
  <si>
    <r>
      <rPr>
        <b/>
        <sz val="11"/>
        <rFont val="Calibri"/>
        <family val="2"/>
        <scheme val="minor"/>
      </rPr>
      <t xml:space="preserve">Vassoura – </t>
    </r>
    <r>
      <rPr>
        <sz val="11"/>
        <rFont val="Calibri"/>
        <family val="2"/>
        <scheme val="minor"/>
      </rPr>
      <t>Tipo piaçava</t>
    </r>
  </si>
  <si>
    <r>
      <t xml:space="preserve">O Termo de Referência  traz as seguintes informações:                           </t>
    </r>
    <r>
      <rPr>
        <b/>
        <sz val="11"/>
        <color theme="1"/>
        <rFont val="Calibri"/>
        <family val="2"/>
        <scheme val="minor"/>
      </rPr>
      <t xml:space="preserve">                                                                                                                                                                                                                   4.3. Uniformização dos empregados da contratada:</t>
    </r>
    <r>
      <rPr>
        <sz val="11"/>
        <color theme="1"/>
        <rFont val="Calibri"/>
        <family val="2"/>
        <scheme val="minor"/>
      </rPr>
      <t xml:space="preserve">
4.3.1. A empresa Contratada deverá fornecer gratuitamente, à mão-de-obra colocada à disposição da SESAU/RO, uniformes e seus complementos (vedada a distribuição de uniformes usados), que deverão ser constituídos das seguintes peças:
4.3.1.1. Para o Auxiliar de limpeza e Supervisor de limpeza: </t>
    </r>
    <r>
      <rPr>
        <b/>
        <sz val="11"/>
        <color theme="1"/>
        <rFont val="Calibri"/>
        <family val="2"/>
        <scheme val="minor"/>
      </rPr>
      <t>Calça; Jaleco manga longa; Par de botas de borracha.</t>
    </r>
    <r>
      <rPr>
        <sz val="11"/>
        <color theme="1"/>
        <rFont val="Calibri"/>
        <family val="2"/>
        <scheme val="minor"/>
      </rPr>
      <t xml:space="preserve">
4.3.2. Os Uniformes deverão ser confeccionados em tecido apropriado na cor padrão da Contratada, deverão nas costas dos jalecos e guarda-pó constar o nome da empresa, e abaixo a frase: "A SERVIÇO DA SESAU”.
</t>
    </r>
    <r>
      <rPr>
        <sz val="11"/>
        <color theme="1"/>
        <rFont val="Calibri"/>
        <family val="2"/>
        <scheme val="minor"/>
      </rPr>
      <t xml:space="preserve">                                                                                                                                                                                                                                                                                                                                                                            14.1.4. Manter seu pessoal uniformizado, identificando-os através de </t>
    </r>
    <r>
      <rPr>
        <b/>
        <sz val="11"/>
        <color theme="1"/>
        <rFont val="Calibri"/>
        <family val="2"/>
        <scheme val="minor"/>
      </rPr>
      <t>crachás</t>
    </r>
    <r>
      <rPr>
        <sz val="11"/>
        <color theme="1"/>
        <rFont val="Calibri"/>
        <family val="2"/>
        <scheme val="minor"/>
      </rPr>
      <t xml:space="preserve">, e provendo-os dos Equipamentos de Proteção Individual - EPI’s.
OBSERVAÇÃO: Apesar de apresentar as informações acima relacionadas, o termo não apresenta quantitativo para os uniformes, dessa forma, buscando a celeridade no processo, esse setorial responsável pela elaboração de planilhas utilizou o quantitativo do Termo de Referência (0040148650) do processo 0036.123736/2021-81 a fim de prever um custo com os referidos materiais. Sendo assim, o quantitativo pode ser alterado conforme a necessidade da unidade, o respectivo quadro pode ser utilizado como base para a formação de preço, todavia, não vincula a empresa contratada, visto que o quantitativo não está previsto no Termo de Referência.
</t>
    </r>
  </si>
  <si>
    <r>
      <t xml:space="preserve">Coletor rígido para resíduos perfurocortantes - </t>
    </r>
    <r>
      <rPr>
        <sz val="11"/>
        <rFont val="Calibri"/>
        <family val="2"/>
        <scheme val="minor"/>
      </rPr>
      <t>Atendendo as recomendações da RDC 222/2018 e CONAMA 358.Fabricado em polietileno rígido,tampa de evita vazamento ,disponível na cor amarela,translúcido para facilitar a visualização do conteúdo interno,desconector de agulha no bocal da tampa,descartável e de uso único</t>
    </r>
    <r>
      <rPr>
        <b/>
        <sz val="11"/>
        <rFont val="Calibri"/>
        <family val="2"/>
        <scheme val="minor"/>
      </rPr>
      <t>,para coleta do grupo E,</t>
    </r>
    <r>
      <rPr>
        <sz val="11"/>
        <rFont val="Calibri"/>
        <family val="2"/>
        <scheme val="minor"/>
      </rPr>
      <t>coletor de no minimo 13 litros</t>
    </r>
  </si>
  <si>
    <t>Caixa</t>
  </si>
  <si>
    <r>
      <rPr>
        <b/>
        <sz val="11"/>
        <rFont val="Calibri"/>
        <family val="2"/>
        <scheme val="minor"/>
      </rPr>
      <t xml:space="preserve">Rodo </t>
    </r>
    <r>
      <rPr>
        <sz val="11"/>
        <rFont val="Calibri"/>
        <family val="2"/>
        <scheme val="minor"/>
      </rPr>
      <t>- Rodo pega fibra abrasiva com cabo longo e de alta resistência</t>
    </r>
  </si>
  <si>
    <r>
      <rPr>
        <b/>
        <sz val="11"/>
        <rFont val="Calibri"/>
        <family val="2"/>
        <scheme val="minor"/>
      </rPr>
      <t>Dispenser para Sabonete Líquido com reservatório</t>
    </r>
    <r>
      <rPr>
        <sz val="11"/>
        <rFont val="Calibri"/>
        <family val="2"/>
        <scheme val="minor"/>
      </rPr>
      <t xml:space="preserve"> - fabricado em material termoplástico de alta qualidade e resistência ao impacto, com capacidade aprox. de 800 ml.</t>
    </r>
  </si>
  <si>
    <r>
      <t xml:space="preserve">Escova de cerdas duras </t>
    </r>
    <r>
      <rPr>
        <sz val="11"/>
        <rFont val="Calibri"/>
        <family val="2"/>
        <scheme val="minor"/>
      </rPr>
      <t>- com cabo longo (minimo de 1,60 cm)utilizado exclusivamente na limpeza pesada de pisos e banheiros</t>
    </r>
  </si>
  <si>
    <r>
      <rPr>
        <b/>
        <sz val="11"/>
        <rFont val="Calibri"/>
        <family val="2"/>
        <scheme val="minor"/>
      </rPr>
      <t>Kits para limpeza de vidros e teto</t>
    </r>
    <r>
      <rPr>
        <sz val="11"/>
        <rFont val="Calibri"/>
        <family val="2"/>
        <scheme val="minor"/>
      </rPr>
      <t xml:space="preserve"> - Cabo metálico regulável com lâminas de borracha substituíveis e cabo para lavagem com luvas (MOP úmido) também substituível</t>
    </r>
  </si>
  <si>
    <t>Materiais (insumos)</t>
  </si>
  <si>
    <t>40% * 1.518,00</t>
  </si>
  <si>
    <t>RO000003/2025</t>
  </si>
  <si>
    <t>626,94 -(626,94*0,99%)</t>
  </si>
  <si>
    <t>1743,48*50%*0,0199*2/12</t>
  </si>
  <si>
    <r>
      <rPr>
        <b/>
        <sz val="11"/>
        <rFont val="Calibri"/>
        <family val="2"/>
        <scheme val="minor"/>
      </rPr>
      <t xml:space="preserve">Quartenário de amônia 5º geração com biguanida </t>
    </r>
    <r>
      <rPr>
        <sz val="11"/>
        <rFont val="Calibri"/>
        <family val="2"/>
        <scheme val="minor"/>
      </rPr>
      <t>- Produto liquido para diluição com registro na ANVISA como desinfetante (ação antimicrobiana confirmada) e classificado como "USO HOSPITALAR" de acordo com a RDC nº 14 de 28 de fevereiro de 2007.</t>
    </r>
  </si>
  <si>
    <t>Substituto na Cobertura de Ausências Legais (faltas legais)</t>
  </si>
  <si>
    <t xml:space="preserve">Tributos federais </t>
  </si>
  <si>
    <t>COFINS</t>
  </si>
  <si>
    <t>Tributos municipais (ISS/ISSQN)</t>
  </si>
  <si>
    <t>C.1</t>
  </si>
  <si>
    <t>C.1.2</t>
  </si>
  <si>
    <t>C.2</t>
  </si>
  <si>
    <t xml:space="preserve">  </t>
  </si>
  <si>
    <t xml:space="preserve">                                                                                                                                                                                       </t>
  </si>
  <si>
    <t>Incidência do submódulo 2.2 sobre aviso prévio trabalhado (36,80% sobre o valor do Aviso Prévio Trabalhado)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</si>
</sst>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R$&quot;\ * #,##0.00_-;\-&quot;R$&quot;\ * #,##0.00_-;_-&quot;R$&quot;\ * &quot;-&quot;??_-;_-@_-"/>
    <numFmt numFmtId="43" formatCode="_-* #,##0.00_-;\-* #,##0.00_-;_-* &quot;-&quot;??_-;_-@_-"/>
    <numFmt numFmtId="164" formatCode="0.000%"/>
    <numFmt numFmtId="165" formatCode="&quot;R$&quot;\ #,##0.00"/>
    <numFmt numFmtId="166" formatCode="&quot;R$ &quot;#,##0.00"/>
    <numFmt numFmtId="167" formatCode="0.0000000"/>
    <numFmt numFmtId="168" formatCode="0.00000000"/>
    <numFmt numFmtId="169" formatCode="00"/>
  </numFmts>
  <fonts count="38"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u/>
      <sz val="10"/>
      <color indexed="12"/>
      <name val="Arial"/>
      <family val="2"/>
    </font>
    <font>
      <i/>
      <sz val="10"/>
      <color rgb="FF002060"/>
      <name val="Calibri"/>
      <family val="2"/>
      <scheme val="minor"/>
    </font>
    <font>
      <b/>
      <sz val="8"/>
      <color rgb="FF000000"/>
      <name val="Verdana"/>
      <family val="2"/>
    </font>
    <font>
      <b/>
      <sz val="16"/>
      <color rgb="FF002060"/>
      <name val="Calibri"/>
      <family val="2"/>
      <scheme val="minor"/>
    </font>
    <font>
      <sz val="14"/>
      <color theme="1"/>
      <name val="Calibri"/>
      <family val="2"/>
      <scheme val="minor"/>
    </font>
    <font>
      <sz val="8"/>
      <color rgb="FF000000"/>
      <name val="Verdana"/>
      <family val="2"/>
    </font>
    <font>
      <b/>
      <sz val="8"/>
      <color rgb="FFFF0000"/>
      <name val="Verdana"/>
      <family val="2"/>
    </font>
    <font>
      <sz val="14"/>
      <color rgb="FF000000"/>
      <name val="Times New Roman"/>
      <family val="1"/>
    </font>
    <font>
      <sz val="10"/>
      <color rgb="FF000000"/>
      <name val="Verdana"/>
      <family val="2"/>
    </font>
    <font>
      <b/>
      <sz val="14"/>
      <color rgb="FF000000"/>
      <name val="Calibri"/>
      <family val="2"/>
      <scheme val="minor"/>
    </font>
    <font>
      <sz val="14"/>
      <color rgb="FF000000"/>
      <name val="Calibri"/>
      <family val="2"/>
      <scheme val="minor"/>
    </font>
    <font>
      <b/>
      <u/>
      <sz val="14"/>
      <color rgb="FF000000"/>
      <name val="Calibri"/>
      <family val="2"/>
      <scheme val="minor"/>
    </font>
    <font>
      <b/>
      <sz val="14"/>
      <color rgb="FF000000"/>
      <name val="Times New Roman"/>
      <family val="1"/>
    </font>
    <font>
      <b/>
      <sz val="14"/>
      <color indexed="10"/>
      <name val="Arial"/>
      <family val="2"/>
    </font>
    <font>
      <b/>
      <sz val="14"/>
      <color indexed="48"/>
      <name val="Trebuchet MS"/>
      <family val="2"/>
    </font>
    <font>
      <b/>
      <sz val="14"/>
      <color indexed="10"/>
      <name val="Trebuchet MS"/>
      <family val="2"/>
    </font>
    <font>
      <sz val="12"/>
      <name val="Times New Roman"/>
      <family val="1"/>
    </font>
    <font>
      <b/>
      <sz val="12"/>
      <name val="Times New Roman"/>
      <family val="1"/>
    </font>
    <font>
      <sz val="10"/>
      <name val="Times New Roman"/>
      <family val="1"/>
    </font>
    <font>
      <sz val="11"/>
      <name val="Calibri"/>
      <family val="2"/>
      <scheme val="minor"/>
    </font>
    <font>
      <b/>
      <sz val="11"/>
      <name val="Calibri"/>
      <family val="2"/>
      <scheme val="minor"/>
    </font>
    <font>
      <b/>
      <i/>
      <sz val="11"/>
      <name val="Calibri"/>
      <family val="2"/>
      <scheme val="minor"/>
    </font>
    <font>
      <b/>
      <sz val="11"/>
      <color theme="0"/>
      <name val="Calibri"/>
      <family val="2"/>
      <scheme val="minor"/>
    </font>
    <font>
      <strike/>
      <sz val="11"/>
      <name val="Calibri"/>
      <family val="2"/>
      <scheme val="minor"/>
    </font>
    <font>
      <u/>
      <sz val="11"/>
      <name val="Calibri"/>
      <family val="2"/>
      <scheme val="minor"/>
    </font>
    <font>
      <b/>
      <sz val="11"/>
      <color indexed="8"/>
      <name val="Calibri"/>
      <family val="2"/>
      <scheme val="minor"/>
    </font>
    <font>
      <vertAlign val="superscript"/>
      <sz val="11"/>
      <name val="Calibri"/>
      <family val="2"/>
      <scheme val="minor"/>
    </font>
    <font>
      <b/>
      <sz val="11"/>
      <color indexed="10"/>
      <name val="Calibri"/>
      <family val="2"/>
      <scheme val="minor"/>
    </font>
    <font>
      <b/>
      <sz val="11"/>
      <color rgb="FFFF0000"/>
      <name val="Calibri"/>
      <family val="2"/>
      <scheme val="minor"/>
    </font>
    <font>
      <sz val="11"/>
      <color rgb="FF000000"/>
      <name val="Calibri"/>
      <family val="2"/>
      <scheme val="minor"/>
    </font>
    <font>
      <b/>
      <sz val="11"/>
      <color rgb="FF000000"/>
      <name val="Calibri"/>
      <family val="2"/>
      <scheme val="minor"/>
    </font>
    <font>
      <sz val="10"/>
      <color rgb="FF000000"/>
      <name val="Times New Roman"/>
      <family val="1"/>
    </font>
    <font>
      <sz val="10"/>
      <color rgb="FF000000"/>
      <name val="Times New Roman"/>
      <family val="1"/>
    </font>
    <font>
      <sz val="10"/>
      <name val="Arial"/>
      <family val="2"/>
      <charset val="1"/>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2" tint="-0.249977111117893"/>
        <bgColor indexed="64"/>
      </patternFill>
    </fill>
    <fill>
      <patternFill patternType="solid">
        <fgColor theme="4" tint="0.79998168889431442"/>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s>
  <cellStyleXfs count="14">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0" fontId="3" fillId="0" borderId="0"/>
    <xf numFmtId="0" fontId="1" fillId="0" borderId="0"/>
    <xf numFmtId="0" fontId="4" fillId="0" borderId="0" applyNumberFormat="0" applyFill="0" applyBorder="0" applyAlignment="0" applyProtection="0">
      <alignment vertical="top"/>
      <protection locked="0"/>
    </xf>
    <xf numFmtId="43" fontId="1" fillId="0" borderId="0" applyFont="0" applyFill="0" applyBorder="0" applyAlignment="0" applyProtection="0"/>
    <xf numFmtId="0" fontId="35" fillId="0" borderId="0"/>
    <xf numFmtId="44" fontId="1" fillId="0" borderId="0" applyFont="0" applyFill="0" applyBorder="0" applyAlignment="0" applyProtection="0"/>
    <xf numFmtId="43" fontId="1" fillId="0" borderId="0" applyFont="0" applyFill="0" applyBorder="0" applyAlignment="0" applyProtection="0"/>
    <xf numFmtId="0" fontId="36" fillId="0" borderId="0"/>
    <xf numFmtId="0" fontId="35" fillId="0" borderId="0"/>
    <xf numFmtId="0" fontId="37" fillId="0" borderId="0"/>
  </cellStyleXfs>
  <cellXfs count="450">
    <xf numFmtId="0" fontId="0" fillId="0" borderId="0" xfId="0"/>
    <xf numFmtId="0" fontId="6" fillId="2" borderId="14" xfId="0" applyFont="1" applyFill="1" applyBorder="1" applyAlignment="1">
      <alignment wrapText="1"/>
    </xf>
    <xf numFmtId="0" fontId="6" fillId="2" borderId="15" xfId="0" applyFont="1" applyFill="1" applyBorder="1" applyAlignment="1">
      <alignment horizontal="center" wrapText="1"/>
    </xf>
    <xf numFmtId="0" fontId="8" fillId="0" borderId="0" xfId="0" applyFont="1" applyAlignment="1">
      <alignment horizontal="justify"/>
    </xf>
    <xf numFmtId="0" fontId="9" fillId="2" borderId="15" xfId="0" applyFont="1" applyFill="1" applyBorder="1" applyAlignment="1">
      <alignment horizontal="justify" wrapText="1"/>
    </xf>
    <xf numFmtId="0" fontId="11" fillId="0" borderId="0" xfId="0" applyFont="1" applyAlignment="1">
      <alignment horizontal="justify" wrapText="1"/>
    </xf>
    <xf numFmtId="0" fontId="12" fillId="2" borderId="15" xfId="0" applyFont="1" applyFill="1" applyBorder="1" applyAlignment="1">
      <alignment horizontal="center" wrapText="1"/>
    </xf>
    <xf numFmtId="0" fontId="9" fillId="2" borderId="15" xfId="0" applyFont="1" applyFill="1" applyBorder="1" applyAlignment="1">
      <alignment horizontal="center" wrapText="1"/>
    </xf>
    <xf numFmtId="0" fontId="0" fillId="0" borderId="14" xfId="0" applyBorder="1" applyAlignment="1">
      <alignment horizontal="center"/>
    </xf>
    <xf numFmtId="0" fontId="0" fillId="0" borderId="16" xfId="0" applyBorder="1" applyAlignment="1">
      <alignment horizontal="center"/>
    </xf>
    <xf numFmtId="0" fontId="0" fillId="0" borderId="14" xfId="0" applyBorder="1"/>
    <xf numFmtId="0" fontId="9" fillId="2" borderId="16" xfId="0" applyFont="1" applyFill="1" applyBorder="1" applyAlignment="1">
      <alignment horizontal="center" wrapText="1"/>
    </xf>
    <xf numFmtId="0" fontId="0" fillId="0" borderId="15" xfId="0" applyBorder="1"/>
    <xf numFmtId="0" fontId="0" fillId="0" borderId="15" xfId="0" applyBorder="1" applyAlignment="1">
      <alignment horizontal="center"/>
    </xf>
    <xf numFmtId="0" fontId="0" fillId="3" borderId="15" xfId="0" applyFill="1" applyBorder="1"/>
    <xf numFmtId="0" fontId="0" fillId="3" borderId="15" xfId="0" applyFill="1" applyBorder="1" applyAlignment="1">
      <alignment horizontal="center"/>
    </xf>
    <xf numFmtId="0" fontId="0" fillId="0" borderId="16" xfId="0" applyBorder="1"/>
    <xf numFmtId="0" fontId="4" fillId="0" borderId="0" xfId="6" applyAlignment="1" applyProtection="1"/>
    <xf numFmtId="0" fontId="16" fillId="0" borderId="0" xfId="0" applyFont="1" applyAlignment="1">
      <alignment horizontal="center" wrapText="1"/>
    </xf>
    <xf numFmtId="0" fontId="2" fillId="0" borderId="0" xfId="0" applyFont="1"/>
    <xf numFmtId="0" fontId="8" fillId="0" borderId="0" xfId="0" applyFont="1"/>
    <xf numFmtId="0" fontId="18" fillId="0" borderId="17" xfId="0" applyFont="1" applyBorder="1" applyAlignment="1">
      <alignment horizontal="center" vertical="center" wrapText="1"/>
    </xf>
    <xf numFmtId="0" fontId="19" fillId="0" borderId="18" xfId="0" applyFont="1" applyBorder="1" applyAlignment="1">
      <alignment horizontal="justify" vertical="center" wrapText="1"/>
    </xf>
    <xf numFmtId="0" fontId="19" fillId="0" borderId="19" xfId="0" applyFont="1" applyBorder="1" applyAlignment="1">
      <alignment horizontal="justify" vertical="center" wrapText="1"/>
    </xf>
    <xf numFmtId="0" fontId="19" fillId="0" borderId="13" xfId="0" applyFont="1" applyBorder="1" applyAlignment="1">
      <alignment horizontal="justify" vertical="center" wrapText="1"/>
    </xf>
    <xf numFmtId="0" fontId="19" fillId="0" borderId="12" xfId="0" applyFont="1" applyBorder="1" applyAlignment="1">
      <alignment horizontal="justify" vertical="center" wrapText="1"/>
    </xf>
    <xf numFmtId="0" fontId="19" fillId="0" borderId="20" xfId="0" applyFont="1" applyBorder="1" applyAlignment="1">
      <alignment horizontal="justify" vertical="center" wrapText="1"/>
    </xf>
    <xf numFmtId="0" fontId="19" fillId="0" borderId="21" xfId="0" applyFont="1" applyBorder="1" applyAlignment="1">
      <alignment horizontal="justify" vertical="center" wrapText="1"/>
    </xf>
    <xf numFmtId="0" fontId="22" fillId="0" borderId="0" xfId="0" applyFont="1" applyAlignment="1">
      <alignment vertical="center"/>
    </xf>
    <xf numFmtId="0" fontId="22" fillId="0" borderId="0" xfId="0" applyFont="1" applyAlignment="1">
      <alignment horizontal="left" vertical="center"/>
    </xf>
    <xf numFmtId="44" fontId="22" fillId="0" borderId="0" xfId="0" applyNumberFormat="1" applyFont="1" applyAlignment="1">
      <alignment vertical="center"/>
    </xf>
    <xf numFmtId="0" fontId="20" fillId="0" borderId="0" xfId="0" applyFont="1" applyAlignment="1">
      <alignment vertical="center"/>
    </xf>
    <xf numFmtId="0" fontId="20" fillId="0" borderId="0" xfId="0" applyFont="1" applyAlignment="1">
      <alignment horizontal="center" vertical="center"/>
    </xf>
    <xf numFmtId="0" fontId="21" fillId="0" borderId="0" xfId="0" applyFont="1" applyAlignment="1">
      <alignment vertical="center"/>
    </xf>
    <xf numFmtId="0" fontId="20" fillId="0" borderId="0" xfId="0" applyFont="1" applyAlignment="1">
      <alignment horizontal="justify" vertical="center"/>
    </xf>
    <xf numFmtId="164" fontId="21" fillId="0" borderId="0" xfId="2" applyNumberFormat="1" applyFont="1" applyFill="1" applyBorder="1" applyAlignment="1">
      <alignment vertical="center"/>
    </xf>
    <xf numFmtId="4" fontId="20" fillId="0" borderId="0" xfId="0" applyNumberFormat="1" applyFont="1" applyAlignment="1">
      <alignment horizontal="right" vertical="center"/>
    </xf>
    <xf numFmtId="4" fontId="20" fillId="0" borderId="0" xfId="0" applyNumberFormat="1" applyFont="1" applyAlignment="1">
      <alignment horizontal="justify" vertical="center"/>
    </xf>
    <xf numFmtId="4" fontId="20" fillId="0" borderId="0" xfId="2" applyNumberFormat="1" applyFont="1" applyFill="1" applyBorder="1" applyAlignment="1">
      <alignment vertical="center"/>
    </xf>
    <xf numFmtId="44" fontId="20" fillId="0" borderId="0" xfId="1" applyFont="1" applyFill="1" applyBorder="1" applyAlignment="1">
      <alignment horizontal="justify" vertical="center"/>
    </xf>
    <xf numFmtId="4" fontId="20" fillId="0" borderId="0" xfId="0" applyNumberFormat="1" applyFont="1" applyAlignment="1">
      <alignment vertical="center"/>
    </xf>
    <xf numFmtId="0" fontId="20" fillId="2" borderId="0" xfId="0" applyFont="1" applyFill="1" applyAlignment="1">
      <alignment vertical="center"/>
    </xf>
    <xf numFmtId="0" fontId="21" fillId="2" borderId="0" xfId="0" applyFont="1" applyFill="1" applyAlignment="1">
      <alignment vertical="center"/>
    </xf>
    <xf numFmtId="0" fontId="24" fillId="0" borderId="4" xfId="0" applyFont="1" applyBorder="1" applyAlignment="1">
      <alignment horizontal="center" vertical="center" wrapText="1"/>
    </xf>
    <xf numFmtId="4" fontId="23" fillId="0" borderId="4" xfId="0" applyNumberFormat="1" applyFont="1" applyBorder="1" applyAlignment="1">
      <alignment horizontal="center" vertical="center"/>
    </xf>
    <xf numFmtId="0" fontId="23" fillId="0" borderId="4" xfId="0" applyFont="1" applyBorder="1" applyAlignment="1">
      <alignment horizontal="justify" vertical="center"/>
    </xf>
    <xf numFmtId="0" fontId="23" fillId="0" borderId="4" xfId="0" applyFont="1" applyBorder="1" applyAlignment="1">
      <alignment horizontal="center" vertical="center"/>
    </xf>
    <xf numFmtId="4" fontId="23" fillId="2" borderId="4" xfId="5" applyNumberFormat="1" applyFont="1" applyFill="1" applyBorder="1" applyAlignment="1">
      <alignment horizontal="center" vertical="center" wrapText="1"/>
    </xf>
    <xf numFmtId="0" fontId="23" fillId="2" borderId="27" xfId="0" applyFont="1" applyFill="1" applyBorder="1" applyAlignment="1">
      <alignment horizontal="center" vertical="center"/>
    </xf>
    <xf numFmtId="0" fontId="23" fillId="2" borderId="4" xfId="3" applyFont="1" applyFill="1" applyBorder="1" applyAlignment="1">
      <alignment horizontal="right" vertical="center" wrapText="1"/>
    </xf>
    <xf numFmtId="0" fontId="23" fillId="2" borderId="4" xfId="4" applyFont="1" applyFill="1" applyBorder="1" applyAlignment="1">
      <alignment horizontal="justify" vertical="center" wrapText="1"/>
    </xf>
    <xf numFmtId="0" fontId="23" fillId="2" borderId="4" xfId="0" applyFont="1" applyFill="1" applyBorder="1" applyAlignment="1">
      <alignment horizontal="justify" vertical="center"/>
    </xf>
    <xf numFmtId="0" fontId="24" fillId="2" borderId="27" xfId="5" applyFont="1" applyFill="1" applyBorder="1" applyAlignment="1">
      <alignment horizontal="center" vertical="center" wrapText="1"/>
    </xf>
    <xf numFmtId="0" fontId="23" fillId="2" borderId="27" xfId="0" applyFont="1" applyFill="1" applyBorder="1" applyAlignment="1">
      <alignment horizontal="center" vertical="center" wrapText="1"/>
    </xf>
    <xf numFmtId="0" fontId="24" fillId="0" borderId="1" xfId="5" applyFont="1" applyBorder="1" applyAlignment="1">
      <alignment vertical="center" wrapText="1"/>
    </xf>
    <xf numFmtId="0" fontId="23" fillId="0" borderId="27" xfId="5" applyFont="1" applyBorder="1" applyAlignment="1">
      <alignment horizontal="center" vertical="center" wrapText="1"/>
    </xf>
    <xf numFmtId="0" fontId="23" fillId="0" borderId="4" xfId="5" applyFont="1" applyBorder="1" applyAlignment="1">
      <alignment vertical="center" wrapText="1"/>
    </xf>
    <xf numFmtId="0" fontId="23" fillId="0" borderId="3" xfId="0" applyFont="1" applyBorder="1" applyAlignment="1">
      <alignment vertical="center" wrapText="1"/>
    </xf>
    <xf numFmtId="0" fontId="23" fillId="0" borderId="4" xfId="0" applyFont="1" applyBorder="1" applyAlignment="1">
      <alignment vertical="center"/>
    </xf>
    <xf numFmtId="10" fontId="23" fillId="0" borderId="4" xfId="2" applyNumberFormat="1" applyFont="1" applyFill="1" applyBorder="1" applyAlignment="1">
      <alignment horizontal="center" vertical="center"/>
    </xf>
    <xf numFmtId="0" fontId="23" fillId="2" borderId="4" xfId="5" applyFont="1" applyFill="1" applyBorder="1" applyAlignment="1">
      <alignment vertical="center"/>
    </xf>
    <xf numFmtId="164" fontId="24" fillId="2" borderId="4" xfId="2" applyNumberFormat="1" applyFont="1" applyFill="1" applyBorder="1" applyAlignment="1">
      <alignment horizontal="justify" vertical="center"/>
    </xf>
    <xf numFmtId="164" fontId="24" fillId="0" borderId="4" xfId="2" applyNumberFormat="1" applyFont="1" applyFill="1" applyBorder="1" applyAlignment="1">
      <alignment horizontal="justify" vertical="center"/>
    </xf>
    <xf numFmtId="164" fontId="24" fillId="0" borderId="4" xfId="2" applyNumberFormat="1" applyFont="1" applyFill="1" applyBorder="1" applyAlignment="1">
      <alignment vertical="center"/>
    </xf>
    <xf numFmtId="0" fontId="24" fillId="2" borderId="4" xfId="5" applyFont="1" applyFill="1" applyBorder="1" applyAlignment="1">
      <alignment horizontal="center" vertical="center" wrapText="1"/>
    </xf>
    <xf numFmtId="0" fontId="24" fillId="0" borderId="1" xfId="5" applyFont="1" applyBorder="1" applyAlignment="1">
      <alignment vertical="center"/>
    </xf>
    <xf numFmtId="0" fontId="28" fillId="0" borderId="4" xfId="6" applyFont="1" applyFill="1" applyBorder="1" applyAlignment="1" applyProtection="1">
      <alignment horizontal="justify" vertical="center"/>
    </xf>
    <xf numFmtId="0" fontId="23" fillId="0" borderId="1" xfId="5" applyFont="1" applyBorder="1" applyAlignment="1">
      <alignment vertical="center" wrapText="1"/>
    </xf>
    <xf numFmtId="0" fontId="23" fillId="0" borderId="3" xfId="0" applyFont="1" applyBorder="1" applyAlignment="1">
      <alignment horizontal="center" vertical="center" wrapText="1"/>
    </xf>
    <xf numFmtId="10" fontId="24" fillId="5" borderId="4" xfId="2" applyNumberFormat="1" applyFont="1" applyFill="1" applyBorder="1" applyAlignment="1">
      <alignment horizontal="center" vertical="center"/>
    </xf>
    <xf numFmtId="165" fontId="23" fillId="0" borderId="4" xfId="0" applyNumberFormat="1" applyFont="1" applyBorder="1" applyAlignment="1">
      <alignment horizontal="center" vertical="center"/>
    </xf>
    <xf numFmtId="0" fontId="24" fillId="4" borderId="27" xfId="5" applyFont="1" applyFill="1" applyBorder="1" applyAlignment="1">
      <alignment horizontal="center" vertical="center" wrapText="1"/>
    </xf>
    <xf numFmtId="0" fontId="24" fillId="4" borderId="4" xfId="0" applyFont="1" applyFill="1" applyBorder="1" applyAlignment="1">
      <alignment horizontal="center" vertical="center" wrapText="1"/>
    </xf>
    <xf numFmtId="0" fontId="24" fillId="4" borderId="3" xfId="0" applyFont="1" applyFill="1" applyBorder="1" applyAlignment="1">
      <alignment vertical="center" wrapText="1"/>
    </xf>
    <xf numFmtId="165" fontId="23" fillId="0" borderId="25" xfId="0" applyNumberFormat="1" applyFont="1" applyBorder="1" applyAlignment="1">
      <alignment horizontal="center" vertical="center"/>
    </xf>
    <xf numFmtId="165" fontId="24" fillId="5" borderId="25" xfId="0" applyNumberFormat="1" applyFont="1" applyFill="1" applyBorder="1" applyAlignment="1">
      <alignment horizontal="center" vertical="center"/>
    </xf>
    <xf numFmtId="10" fontId="24" fillId="5" borderId="4" xfId="0" applyNumberFormat="1" applyFont="1" applyFill="1" applyBorder="1" applyAlignment="1">
      <alignment horizontal="center" vertical="center" wrapText="1"/>
    </xf>
    <xf numFmtId="165" fontId="24" fillId="2" borderId="25" xfId="5" applyNumberFormat="1" applyFont="1" applyFill="1" applyBorder="1" applyAlignment="1">
      <alignment horizontal="center" vertical="center" wrapText="1"/>
    </xf>
    <xf numFmtId="165" fontId="23" fillId="2" borderId="25" xfId="0" applyNumberFormat="1" applyFont="1" applyFill="1" applyBorder="1" applyAlignment="1">
      <alignment horizontal="center" vertical="center"/>
    </xf>
    <xf numFmtId="165" fontId="23" fillId="2" borderId="25" xfId="0" quotePrefix="1" applyNumberFormat="1" applyFont="1" applyFill="1" applyBorder="1" applyAlignment="1">
      <alignment horizontal="center" vertical="center"/>
    </xf>
    <xf numFmtId="165" fontId="24" fillId="6" borderId="25" xfId="0" applyNumberFormat="1" applyFont="1" applyFill="1" applyBorder="1" applyAlignment="1">
      <alignment horizontal="center" vertical="center"/>
    </xf>
    <xf numFmtId="165" fontId="24" fillId="4" borderId="25" xfId="5" applyNumberFormat="1" applyFont="1" applyFill="1" applyBorder="1" applyAlignment="1">
      <alignment horizontal="center" vertical="center" wrapText="1"/>
    </xf>
    <xf numFmtId="165" fontId="24" fillId="0" borderId="25" xfId="5" applyNumberFormat="1" applyFont="1" applyBorder="1" applyAlignment="1">
      <alignment horizontal="center" vertical="center" wrapText="1"/>
    </xf>
    <xf numFmtId="165" fontId="23" fillId="2" borderId="4" xfId="5" applyNumberFormat="1" applyFont="1" applyFill="1" applyBorder="1" applyAlignment="1">
      <alignment horizontal="center" vertical="center"/>
    </xf>
    <xf numFmtId="165" fontId="23" fillId="2" borderId="25" xfId="5" applyNumberFormat="1" applyFont="1" applyFill="1" applyBorder="1" applyAlignment="1">
      <alignment horizontal="center" vertical="center"/>
    </xf>
    <xf numFmtId="165" fontId="23" fillId="0" borderId="25" xfId="0" quotePrefix="1" applyNumberFormat="1" applyFont="1" applyBorder="1" applyAlignment="1">
      <alignment horizontal="center" vertical="center"/>
    </xf>
    <xf numFmtId="165" fontId="24" fillId="2" borderId="25" xfId="0" applyNumberFormat="1" applyFont="1" applyFill="1" applyBorder="1" applyAlignment="1">
      <alignment horizontal="center" vertical="center"/>
    </xf>
    <xf numFmtId="0" fontId="24" fillId="0" borderId="3" xfId="5" applyFont="1" applyBorder="1" applyAlignment="1">
      <alignment horizontal="center" vertical="center"/>
    </xf>
    <xf numFmtId="10" fontId="24" fillId="5" borderId="4" xfId="5" applyNumberFormat="1" applyFont="1" applyFill="1" applyBorder="1" applyAlignment="1">
      <alignment horizontal="center" vertical="center" wrapText="1"/>
    </xf>
    <xf numFmtId="165" fontId="24" fillId="6" borderId="30" xfId="0" applyNumberFormat="1" applyFont="1" applyFill="1" applyBorder="1" applyAlignment="1">
      <alignment horizontal="center" vertical="center"/>
    </xf>
    <xf numFmtId="0" fontId="23" fillId="0" borderId="4" xfId="0" applyFont="1" applyBorder="1" applyAlignment="1">
      <alignment vertical="center" wrapText="1"/>
    </xf>
    <xf numFmtId="0" fontId="23" fillId="0" borderId="4" xfId="5" applyFont="1" applyBorder="1" applyAlignment="1">
      <alignment horizontal="left" vertical="center" wrapText="1"/>
    </xf>
    <xf numFmtId="4" fontId="23" fillId="0" borderId="4" xfId="2" applyNumberFormat="1" applyFont="1" applyFill="1" applyBorder="1" applyAlignment="1">
      <alignment horizontal="center" vertical="center"/>
    </xf>
    <xf numFmtId="165" fontId="24" fillId="5" borderId="23" xfId="0" applyNumberFormat="1" applyFont="1" applyFill="1" applyBorder="1" applyAlignment="1">
      <alignment horizontal="center" vertical="center"/>
    </xf>
    <xf numFmtId="165" fontId="24" fillId="3" borderId="25" xfId="5" applyNumberFormat="1" applyFont="1" applyFill="1" applyBorder="1" applyAlignment="1">
      <alignment horizontal="center" vertical="center" wrapText="1"/>
    </xf>
    <xf numFmtId="165" fontId="24" fillId="0" borderId="25" xfId="0" applyNumberFormat="1" applyFont="1" applyBorder="1" applyAlignment="1">
      <alignment horizontal="center" vertical="center"/>
    </xf>
    <xf numFmtId="165" fontId="24" fillId="5" borderId="35" xfId="0" applyNumberFormat="1" applyFont="1" applyFill="1" applyBorder="1" applyAlignment="1">
      <alignment horizontal="center" vertical="center"/>
    </xf>
    <xf numFmtId="165" fontId="24" fillId="4" borderId="25" xfId="0" applyNumberFormat="1" applyFont="1" applyFill="1" applyBorder="1" applyAlignment="1">
      <alignment horizontal="center" vertical="center"/>
    </xf>
    <xf numFmtId="0" fontId="24" fillId="2" borderId="4" xfId="5" applyFont="1" applyFill="1" applyBorder="1" applyAlignment="1">
      <alignment vertical="center" wrapText="1"/>
    </xf>
    <xf numFmtId="0" fontId="23" fillId="2" borderId="4" xfId="0" applyFont="1" applyFill="1" applyBorder="1" applyAlignment="1">
      <alignment vertical="center" wrapText="1"/>
    </xf>
    <xf numFmtId="165" fontId="24" fillId="6" borderId="26" xfId="0" applyNumberFormat="1" applyFont="1" applyFill="1" applyBorder="1" applyAlignment="1">
      <alignment horizontal="center" vertical="center"/>
    </xf>
    <xf numFmtId="165" fontId="23" fillId="0" borderId="25" xfId="1" applyNumberFormat="1" applyFont="1" applyFill="1" applyBorder="1" applyAlignment="1">
      <alignment horizontal="center" vertical="center"/>
    </xf>
    <xf numFmtId="0" fontId="24" fillId="2" borderId="17" xfId="0" applyFont="1" applyFill="1" applyBorder="1" applyAlignment="1">
      <alignment horizontal="center" vertical="center" wrapText="1"/>
    </xf>
    <xf numFmtId="10" fontId="24" fillId="6" borderId="4" xfId="5" applyNumberFormat="1" applyFont="1" applyFill="1" applyBorder="1" applyAlignment="1">
      <alignment horizontal="center" vertical="center" wrapText="1"/>
    </xf>
    <xf numFmtId="0" fontId="29" fillId="2" borderId="36" xfId="0" applyFont="1" applyFill="1" applyBorder="1" applyAlignment="1">
      <alignment horizontal="center" vertical="center" wrapText="1"/>
    </xf>
    <xf numFmtId="0" fontId="23" fillId="2" borderId="36" xfId="0" applyFont="1" applyFill="1" applyBorder="1" applyAlignment="1">
      <alignment horizontal="center" vertical="center" wrapText="1"/>
    </xf>
    <xf numFmtId="0" fontId="23" fillId="2" borderId="36" xfId="0" applyFont="1" applyFill="1" applyBorder="1" applyAlignment="1">
      <alignment horizontal="center" vertical="center"/>
    </xf>
    <xf numFmtId="0" fontId="2" fillId="5" borderId="15" xfId="0" applyFont="1" applyFill="1" applyBorder="1" applyAlignment="1">
      <alignment horizontal="center" vertical="center" wrapText="1"/>
    </xf>
    <xf numFmtId="44" fontId="2" fillId="5" borderId="15" xfId="0" applyNumberFormat="1" applyFont="1" applyFill="1" applyBorder="1" applyAlignment="1">
      <alignment horizontal="center" vertical="center" wrapText="1"/>
    </xf>
    <xf numFmtId="0" fontId="23" fillId="2" borderId="45" xfId="0" applyFont="1" applyFill="1" applyBorder="1" applyAlignment="1">
      <alignment horizontal="center" vertical="center" wrapText="1"/>
    </xf>
    <xf numFmtId="165" fontId="23" fillId="2" borderId="15" xfId="0" applyNumberFormat="1" applyFont="1" applyFill="1" applyBorder="1" applyAlignment="1">
      <alignment horizontal="center" vertical="center" wrapText="1"/>
    </xf>
    <xf numFmtId="4" fontId="33" fillId="2" borderId="15" xfId="0" applyNumberFormat="1" applyFont="1" applyFill="1" applyBorder="1" applyAlignment="1">
      <alignment horizontal="center" vertical="center" shrinkToFit="1"/>
    </xf>
    <xf numFmtId="0" fontId="24" fillId="2" borderId="15" xfId="0" applyFont="1" applyFill="1" applyBorder="1" applyAlignment="1">
      <alignment horizontal="center" vertical="center" wrapText="1"/>
    </xf>
    <xf numFmtId="165" fontId="23" fillId="2" borderId="16" xfId="0" applyNumberFormat="1" applyFont="1" applyFill="1" applyBorder="1" applyAlignment="1">
      <alignment horizontal="center" vertical="center" wrapText="1"/>
    </xf>
    <xf numFmtId="0" fontId="23" fillId="2" borderId="15" xfId="0" applyFont="1" applyFill="1" applyBorder="1" applyAlignment="1">
      <alignment horizontal="center" vertical="center" wrapText="1"/>
    </xf>
    <xf numFmtId="2" fontId="33" fillId="2" borderId="15" xfId="0" applyNumberFormat="1" applyFont="1" applyFill="1" applyBorder="1" applyAlignment="1">
      <alignment horizontal="center" vertical="center" shrinkToFit="1"/>
    </xf>
    <xf numFmtId="0" fontId="36" fillId="0" borderId="0" xfId="11" applyAlignment="1">
      <alignment horizontal="left" vertical="top"/>
    </xf>
    <xf numFmtId="165" fontId="23" fillId="2" borderId="18" xfId="0" applyNumberFormat="1" applyFont="1" applyFill="1" applyBorder="1" applyAlignment="1">
      <alignment horizontal="center" vertical="center" wrapText="1"/>
    </xf>
    <xf numFmtId="165" fontId="23" fillId="2" borderId="14" xfId="0" applyNumberFormat="1" applyFont="1" applyFill="1" applyBorder="1" applyAlignment="1">
      <alignment horizontal="center" vertical="center" wrapText="1"/>
    </xf>
    <xf numFmtId="0" fontId="23" fillId="2" borderId="25" xfId="0" applyFont="1" applyFill="1" applyBorder="1" applyAlignment="1">
      <alignment horizontal="center" vertical="center" wrapText="1"/>
    </xf>
    <xf numFmtId="0" fontId="24" fillId="2" borderId="27" xfId="0" applyFont="1" applyFill="1" applyBorder="1" applyAlignment="1">
      <alignment horizontal="center" vertical="center"/>
    </xf>
    <xf numFmtId="49" fontId="24" fillId="2" borderId="4" xfId="0" applyNumberFormat="1" applyFont="1" applyFill="1" applyBorder="1" applyAlignment="1">
      <alignment horizontal="center" vertical="center"/>
    </xf>
    <xf numFmtId="168" fontId="24" fillId="2" borderId="4" xfId="0" applyNumberFormat="1" applyFont="1" applyFill="1" applyBorder="1" applyAlignment="1">
      <alignment horizontal="center" vertical="center"/>
    </xf>
    <xf numFmtId="166" fontId="24" fillId="2" borderId="4" xfId="0" applyNumberFormat="1" applyFont="1" applyFill="1" applyBorder="1" applyAlignment="1">
      <alignment horizontal="center" vertical="center"/>
    </xf>
    <xf numFmtId="0" fontId="24" fillId="2" borderId="4" xfId="0" applyFont="1" applyFill="1" applyBorder="1" applyAlignment="1">
      <alignment horizontal="center" vertical="center"/>
    </xf>
    <xf numFmtId="166" fontId="24" fillId="2" borderId="25" xfId="0" applyNumberFormat="1" applyFont="1" applyFill="1" applyBorder="1" applyAlignment="1">
      <alignment horizontal="center" vertical="center"/>
    </xf>
    <xf numFmtId="166" fontId="24" fillId="2" borderId="0" xfId="0" applyNumberFormat="1" applyFont="1" applyFill="1" applyAlignment="1">
      <alignment horizontal="center" vertical="center"/>
    </xf>
    <xf numFmtId="4" fontId="24" fillId="2" borderId="25" xfId="5" applyNumberFormat="1" applyFont="1" applyFill="1" applyBorder="1" applyAlignment="1">
      <alignment horizontal="center" vertical="center" wrapText="1"/>
    </xf>
    <xf numFmtId="0" fontId="24" fillId="0" borderId="4" xfId="5" applyFont="1" applyBorder="1" applyAlignment="1">
      <alignment horizontal="center" vertical="center" wrapText="1"/>
    </xf>
    <xf numFmtId="167" fontId="31" fillId="2" borderId="0" xfId="0" applyNumberFormat="1" applyFont="1" applyFill="1" applyAlignment="1">
      <alignment horizontal="center" vertical="center"/>
    </xf>
    <xf numFmtId="0" fontId="23" fillId="2" borderId="4" xfId="11" applyFont="1" applyFill="1" applyBorder="1" applyAlignment="1">
      <alignment horizontal="center" vertical="center" shrinkToFit="1"/>
    </xf>
    <xf numFmtId="165" fontId="23" fillId="2" borderId="4" xfId="11" applyNumberFormat="1" applyFont="1" applyFill="1" applyBorder="1" applyAlignment="1">
      <alignment horizontal="center" vertical="center"/>
    </xf>
    <xf numFmtId="0" fontId="24" fillId="5" borderId="47" xfId="0" applyFont="1" applyFill="1" applyBorder="1" applyAlignment="1">
      <alignment horizontal="center" vertical="center" wrapText="1"/>
    </xf>
    <xf numFmtId="0" fontId="24" fillId="5" borderId="48" xfId="0" applyFont="1" applyFill="1" applyBorder="1" applyAlignment="1">
      <alignment horizontal="center" vertical="center" wrapText="1"/>
    </xf>
    <xf numFmtId="0" fontId="24" fillId="5" borderId="48" xfId="11" applyFont="1" applyFill="1" applyBorder="1" applyAlignment="1">
      <alignment horizontal="center" vertical="center" wrapText="1"/>
    </xf>
    <xf numFmtId="0" fontId="34" fillId="5" borderId="48" xfId="11" applyFont="1" applyFill="1" applyBorder="1" applyAlignment="1">
      <alignment horizontal="center" vertical="center" wrapText="1"/>
    </xf>
    <xf numFmtId="0" fontId="34" fillId="5" borderId="49" xfId="11" applyFont="1" applyFill="1" applyBorder="1" applyAlignment="1">
      <alignment horizontal="center" vertical="center" wrapText="1"/>
    </xf>
    <xf numFmtId="165" fontId="23" fillId="2" borderId="25" xfId="11" applyNumberFormat="1" applyFont="1" applyFill="1" applyBorder="1" applyAlignment="1">
      <alignment horizontal="center" vertical="center"/>
    </xf>
    <xf numFmtId="165" fontId="23" fillId="2" borderId="4" xfId="0" applyNumberFormat="1" applyFont="1" applyFill="1" applyBorder="1" applyAlignment="1">
      <alignment horizontal="center" vertical="center" wrapText="1"/>
    </xf>
    <xf numFmtId="167" fontId="24" fillId="2" borderId="4" xfId="0" applyNumberFormat="1" applyFont="1" applyFill="1" applyBorder="1" applyAlignment="1">
      <alignment horizontal="center" vertical="center"/>
    </xf>
    <xf numFmtId="165" fontId="23" fillId="2" borderId="36" xfId="0" applyNumberFormat="1" applyFont="1" applyFill="1" applyBorder="1" applyAlignment="1">
      <alignment horizontal="center" vertical="center" wrapText="1"/>
    </xf>
    <xf numFmtId="165" fontId="23" fillId="2" borderId="45" xfId="0" applyNumberFormat="1" applyFont="1" applyFill="1" applyBorder="1" applyAlignment="1">
      <alignment horizontal="center" vertical="center" wrapText="1"/>
    </xf>
    <xf numFmtId="0" fontId="24" fillId="7" borderId="17" xfId="0" applyFont="1" applyFill="1" applyBorder="1" applyAlignment="1">
      <alignment horizontal="center" vertical="center" wrapText="1"/>
    </xf>
    <xf numFmtId="0" fontId="23" fillId="2" borderId="4" xfId="11" applyFont="1" applyFill="1" applyBorder="1" applyAlignment="1">
      <alignment horizontal="center" vertical="center" wrapText="1"/>
    </xf>
    <xf numFmtId="0" fontId="25" fillId="7" borderId="12" xfId="0" applyFont="1" applyFill="1" applyBorder="1" applyAlignment="1">
      <alignment horizontal="center" vertical="center"/>
    </xf>
    <xf numFmtId="0" fontId="25" fillId="7" borderId="10" xfId="0" applyFont="1" applyFill="1" applyBorder="1" applyAlignment="1">
      <alignment horizontal="center" vertical="center"/>
    </xf>
    <xf numFmtId="165" fontId="23" fillId="2" borderId="4" xfId="8" applyNumberFormat="1" applyFont="1" applyFill="1" applyBorder="1" applyAlignment="1">
      <alignment horizontal="center" vertical="center"/>
    </xf>
    <xf numFmtId="165" fontId="23" fillId="2" borderId="42" xfId="8" applyNumberFormat="1" applyFont="1" applyFill="1" applyBorder="1" applyAlignment="1">
      <alignment horizontal="center" vertical="center"/>
    </xf>
    <xf numFmtId="0" fontId="24" fillId="5" borderId="9" xfId="0" applyFont="1" applyFill="1" applyBorder="1" applyAlignment="1">
      <alignment horizontal="center" vertical="center" wrapText="1"/>
    </xf>
    <xf numFmtId="0" fontId="24" fillId="5" borderId="43" xfId="0" applyFont="1" applyFill="1" applyBorder="1" applyAlignment="1">
      <alignment horizontal="center" vertical="center" wrapText="1"/>
    </xf>
    <xf numFmtId="0" fontId="24" fillId="5" borderId="43" xfId="11" applyFont="1" applyFill="1" applyBorder="1" applyAlignment="1">
      <alignment horizontal="center" vertical="center" wrapText="1"/>
    </xf>
    <xf numFmtId="0" fontId="34" fillId="5" borderId="43" xfId="11" applyFont="1" applyFill="1" applyBorder="1" applyAlignment="1">
      <alignment horizontal="center" vertical="center" wrapText="1"/>
    </xf>
    <xf numFmtId="0" fontId="34" fillId="5" borderId="11" xfId="11" applyFont="1" applyFill="1" applyBorder="1" applyAlignment="1">
      <alignment horizontal="center" vertical="center" wrapText="1"/>
    </xf>
    <xf numFmtId="165" fontId="23" fillId="2" borderId="8" xfId="8" applyNumberFormat="1" applyFont="1" applyFill="1" applyBorder="1" applyAlignment="1">
      <alignment horizontal="center" vertical="center"/>
    </xf>
    <xf numFmtId="0" fontId="23" fillId="2" borderId="42" xfId="11" applyFont="1" applyFill="1" applyBorder="1" applyAlignment="1">
      <alignment horizontal="center" vertical="center" shrinkToFit="1"/>
    </xf>
    <xf numFmtId="165" fontId="23" fillId="2" borderId="42" xfId="11" applyNumberFormat="1" applyFont="1" applyFill="1" applyBorder="1" applyAlignment="1">
      <alignment horizontal="center" vertical="center"/>
    </xf>
    <xf numFmtId="165" fontId="23" fillId="2" borderId="23" xfId="11" applyNumberFormat="1" applyFont="1" applyFill="1" applyBorder="1" applyAlignment="1">
      <alignment horizontal="center" vertical="center"/>
    </xf>
    <xf numFmtId="0" fontId="33" fillId="2" borderId="27" xfId="0" applyFont="1" applyFill="1" applyBorder="1" applyAlignment="1">
      <alignment horizontal="center" vertical="center" shrinkToFit="1"/>
    </xf>
    <xf numFmtId="165" fontId="33" fillId="2" borderId="4" xfId="8" applyNumberFormat="1" applyFont="1" applyFill="1" applyBorder="1" applyAlignment="1">
      <alignment horizontal="center" vertical="center"/>
    </xf>
    <xf numFmtId="0" fontId="23" fillId="2" borderId="8" xfId="0" applyFont="1" applyFill="1" applyBorder="1" applyAlignment="1">
      <alignment horizontal="center" vertical="center" wrapText="1"/>
    </xf>
    <xf numFmtId="0" fontId="23" fillId="2" borderId="4" xfId="0" applyFont="1" applyFill="1" applyBorder="1" applyAlignment="1">
      <alignment horizontal="center" vertical="center" shrinkToFit="1"/>
    </xf>
    <xf numFmtId="165" fontId="23" fillId="2" borderId="25" xfId="0" applyNumberFormat="1" applyFont="1" applyFill="1" applyBorder="1" applyAlignment="1">
      <alignment horizontal="center" vertical="center" shrinkToFit="1"/>
    </xf>
    <xf numFmtId="0" fontId="29" fillId="2" borderId="0" xfId="0" applyFont="1" applyFill="1" applyAlignment="1">
      <alignment horizontal="center" vertical="center" wrapText="1"/>
    </xf>
    <xf numFmtId="0" fontId="23" fillId="2" borderId="0" xfId="0" applyFont="1" applyFill="1" applyAlignment="1">
      <alignment horizontal="center" vertical="center" wrapText="1"/>
    </xf>
    <xf numFmtId="0" fontId="23" fillId="2" borderId="0" xfId="0" applyFont="1" applyFill="1" applyAlignment="1">
      <alignment horizontal="center" vertical="center"/>
    </xf>
    <xf numFmtId="0" fontId="2" fillId="5" borderId="27"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25" xfId="0" applyFont="1" applyFill="1" applyBorder="1" applyAlignment="1">
      <alignment horizontal="center" vertical="center" wrapText="1"/>
    </xf>
    <xf numFmtId="165" fontId="23" fillId="2" borderId="4" xfId="7" applyNumberFormat="1" applyFont="1" applyFill="1" applyBorder="1" applyAlignment="1">
      <alignment horizontal="center" vertical="center"/>
    </xf>
    <xf numFmtId="165" fontId="23" fillId="2" borderId="25" xfId="7" applyNumberFormat="1" applyFont="1" applyFill="1" applyBorder="1" applyAlignment="1">
      <alignment horizontal="center" vertical="center"/>
    </xf>
    <xf numFmtId="0" fontId="23" fillId="2" borderId="31" xfId="0" applyFont="1" applyFill="1" applyBorder="1" applyAlignment="1">
      <alignment horizontal="center" vertical="center"/>
    </xf>
    <xf numFmtId="0" fontId="23" fillId="2" borderId="8" xfId="0" applyFont="1" applyFill="1" applyBorder="1" applyAlignment="1">
      <alignment horizontal="center" vertical="center"/>
    </xf>
    <xf numFmtId="165" fontId="23" fillId="2" borderId="8" xfId="7" applyNumberFormat="1" applyFont="1" applyFill="1" applyBorder="1" applyAlignment="1">
      <alignment horizontal="center" vertical="center"/>
    </xf>
    <xf numFmtId="165" fontId="23" fillId="2" borderId="52" xfId="7" applyNumberFormat="1" applyFont="1" applyFill="1" applyBorder="1" applyAlignment="1">
      <alignment horizontal="center" vertical="center"/>
    </xf>
    <xf numFmtId="0" fontId="0" fillId="0" borderId="41" xfId="0" applyBorder="1" applyAlignment="1">
      <alignment horizontal="left" vertical="center"/>
    </xf>
    <xf numFmtId="0" fontId="24" fillId="0" borderId="4" xfId="0" applyFont="1" applyBorder="1" applyAlignment="1">
      <alignment vertical="center"/>
    </xf>
    <xf numFmtId="0" fontId="23" fillId="2" borderId="4" xfId="0" applyFont="1" applyFill="1" applyBorder="1" applyAlignment="1">
      <alignment vertical="center"/>
    </xf>
    <xf numFmtId="0" fontId="23" fillId="2" borderId="4" xfId="5" applyFont="1" applyFill="1" applyBorder="1" applyAlignment="1">
      <alignment vertical="center" wrapText="1"/>
    </xf>
    <xf numFmtId="0" fontId="24" fillId="4" borderId="4" xfId="5" applyFont="1" applyFill="1" applyBorder="1" applyAlignment="1">
      <alignment vertical="center" wrapText="1"/>
    </xf>
    <xf numFmtId="0" fontId="23" fillId="2" borderId="4" xfId="5" applyFont="1" applyFill="1" applyBorder="1" applyAlignment="1">
      <alignment horizontal="left" vertical="center" wrapText="1"/>
    </xf>
    <xf numFmtId="0" fontId="23" fillId="0" borderId="4" xfId="0" applyFont="1" applyBorder="1" applyAlignment="1">
      <alignment horizontal="left" vertical="center"/>
    </xf>
    <xf numFmtId="0" fontId="23" fillId="0" borderId="4" xfId="0" applyFont="1" applyBorder="1" applyAlignment="1">
      <alignment horizontal="left" vertical="center" wrapText="1"/>
    </xf>
    <xf numFmtId="0" fontId="24" fillId="0" borderId="4" xfId="0" applyFont="1" applyBorder="1" applyAlignment="1">
      <alignment horizontal="left" vertical="center"/>
    </xf>
    <xf numFmtId="0" fontId="24" fillId="0" borderId="4" xfId="6" applyFont="1" applyFill="1" applyBorder="1" applyAlignment="1" applyProtection="1">
      <alignment horizontal="left" vertical="center"/>
    </xf>
    <xf numFmtId="0" fontId="2" fillId="4" borderId="27" xfId="5" applyFont="1" applyFill="1" applyBorder="1" applyAlignment="1">
      <alignment horizontal="center"/>
    </xf>
    <xf numFmtId="0" fontId="2" fillId="4" borderId="4" xfId="5" applyFont="1" applyFill="1" applyBorder="1" applyAlignment="1">
      <alignment vertical="center" wrapText="1"/>
    </xf>
    <xf numFmtId="0" fontId="23" fillId="2" borderId="27" xfId="5" applyFont="1" applyFill="1" applyBorder="1" applyAlignment="1">
      <alignment horizontal="center"/>
    </xf>
    <xf numFmtId="0" fontId="23" fillId="2" borderId="27" xfId="5" applyFont="1" applyFill="1" applyBorder="1" applyAlignment="1">
      <alignment horizontal="center" vertical="center" wrapText="1"/>
    </xf>
    <xf numFmtId="0" fontId="24" fillId="0" borderId="4" xfId="5" applyFont="1" applyBorder="1" applyAlignment="1">
      <alignment vertical="center" wrapText="1"/>
    </xf>
    <xf numFmtId="165" fontId="23" fillId="2" borderId="41" xfId="0" applyNumberFormat="1" applyFont="1" applyFill="1" applyBorder="1" applyAlignment="1">
      <alignment horizontal="center" vertical="center" wrapText="1"/>
    </xf>
    <xf numFmtId="0" fontId="23" fillId="2" borderId="14" xfId="0" applyFont="1" applyFill="1" applyBorder="1" applyAlignment="1">
      <alignment horizontal="center" vertical="center" wrapText="1"/>
    </xf>
    <xf numFmtId="0" fontId="23" fillId="2" borderId="16" xfId="0" applyFont="1" applyFill="1" applyBorder="1" applyAlignment="1">
      <alignment horizontal="center" vertical="center" wrapText="1"/>
    </xf>
    <xf numFmtId="166" fontId="24" fillId="2" borderId="35" xfId="0" applyNumberFormat="1" applyFont="1" applyFill="1" applyBorder="1" applyAlignment="1">
      <alignment horizontal="center" vertical="center"/>
    </xf>
    <xf numFmtId="0" fontId="24" fillId="2" borderId="0" xfId="0" applyFont="1" applyFill="1" applyAlignment="1">
      <alignment horizontal="center" vertical="center" wrapText="1"/>
    </xf>
    <xf numFmtId="0" fontId="24" fillId="2" borderId="36" xfId="0" applyFont="1" applyFill="1" applyBorder="1" applyAlignment="1">
      <alignment horizontal="center" vertical="center"/>
    </xf>
    <xf numFmtId="165" fontId="2" fillId="7" borderId="16" xfId="0" applyNumberFormat="1" applyFont="1" applyFill="1" applyBorder="1" applyAlignment="1">
      <alignment horizontal="center" vertical="center"/>
    </xf>
    <xf numFmtId="165" fontId="2" fillId="5" borderId="13" xfId="7" applyNumberFormat="1" applyFont="1" applyFill="1" applyBorder="1" applyAlignment="1">
      <alignment horizontal="center" vertical="center"/>
    </xf>
    <xf numFmtId="165" fontId="2" fillId="5" borderId="17" xfId="7" applyNumberFormat="1" applyFont="1" applyFill="1" applyBorder="1" applyAlignment="1">
      <alignment horizontal="center" vertical="center"/>
    </xf>
    <xf numFmtId="165" fontId="34" fillId="5" borderId="12" xfId="11" applyNumberFormat="1" applyFont="1" applyFill="1" applyBorder="1" applyAlignment="1">
      <alignment horizontal="center" vertical="center"/>
    </xf>
    <xf numFmtId="165" fontId="34" fillId="5" borderId="17" xfId="11" applyNumberFormat="1" applyFont="1" applyFill="1" applyBorder="1" applyAlignment="1">
      <alignment horizontal="center" vertical="center"/>
    </xf>
    <xf numFmtId="165" fontId="34" fillId="7" borderId="16" xfId="11" applyNumberFormat="1" applyFont="1" applyFill="1" applyBorder="1" applyAlignment="1">
      <alignment horizontal="center" vertical="center"/>
    </xf>
    <xf numFmtId="0" fontId="24" fillId="7" borderId="13" xfId="0" applyFont="1" applyFill="1" applyBorder="1" applyAlignment="1">
      <alignment horizontal="center" vertical="center"/>
    </xf>
    <xf numFmtId="0" fontId="2" fillId="5" borderId="4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0" fillId="2" borderId="44" xfId="0" applyFill="1" applyBorder="1" applyAlignment="1">
      <alignment horizontal="center" vertical="center"/>
    </xf>
    <xf numFmtId="0" fontId="0" fillId="2" borderId="0" xfId="0" applyFill="1" applyAlignment="1">
      <alignment horizontal="center" vertical="center"/>
    </xf>
    <xf numFmtId="0" fontId="24" fillId="2" borderId="14" xfId="0" applyFont="1" applyFill="1" applyBorder="1" applyAlignment="1">
      <alignment horizontal="center" vertical="center" wrapText="1"/>
    </xf>
    <xf numFmtId="0" fontId="23" fillId="2" borderId="44" xfId="0" applyFont="1" applyFill="1" applyBorder="1" applyAlignment="1">
      <alignment horizontal="center" vertical="center" wrapText="1"/>
    </xf>
    <xf numFmtId="0" fontId="23" fillId="2" borderId="20" xfId="0" applyFont="1" applyFill="1" applyBorder="1" applyAlignment="1">
      <alignment horizontal="center" vertical="center" wrapText="1"/>
    </xf>
    <xf numFmtId="2" fontId="33" fillId="2" borderId="14" xfId="0" applyNumberFormat="1" applyFont="1" applyFill="1" applyBorder="1" applyAlignment="1">
      <alignment horizontal="center" vertical="center" shrinkToFit="1"/>
    </xf>
    <xf numFmtId="165" fontId="23" fillId="2" borderId="21" xfId="0" applyNumberFormat="1" applyFont="1" applyFill="1" applyBorder="1" applyAlignment="1">
      <alignment horizontal="center" vertical="center" wrapText="1"/>
    </xf>
    <xf numFmtId="165" fontId="23" fillId="2" borderId="20" xfId="0" applyNumberFormat="1" applyFont="1" applyFill="1" applyBorder="1" applyAlignment="1">
      <alignment horizontal="center" vertical="center" wrapText="1"/>
    </xf>
    <xf numFmtId="0" fontId="23" fillId="0" borderId="4" xfId="0" applyFont="1" applyBorder="1" applyAlignment="1">
      <alignment horizontal="center" vertical="center" wrapText="1"/>
    </xf>
    <xf numFmtId="0" fontId="29" fillId="2" borderId="0" xfId="0" applyFont="1" applyFill="1" applyAlignment="1">
      <alignment vertical="center"/>
    </xf>
    <xf numFmtId="0" fontId="24" fillId="2" borderId="19" xfId="0" applyFont="1" applyFill="1" applyBorder="1" applyAlignment="1">
      <alignment horizontal="center" vertical="center"/>
    </xf>
    <xf numFmtId="0" fontId="24" fillId="2" borderId="40" xfId="0" applyFont="1" applyFill="1" applyBorder="1" applyAlignment="1">
      <alignment horizontal="center" vertical="center"/>
    </xf>
    <xf numFmtId="166" fontId="24" fillId="2" borderId="40" xfId="0" applyNumberFormat="1" applyFont="1" applyFill="1" applyBorder="1" applyAlignment="1">
      <alignment horizontal="center" vertical="center"/>
    </xf>
    <xf numFmtId="169" fontId="23" fillId="2" borderId="27" xfId="0" applyNumberFormat="1" applyFont="1" applyFill="1" applyBorder="1" applyAlignment="1">
      <alignment horizontal="center" vertical="center" shrinkToFit="1"/>
    </xf>
    <xf numFmtId="169" fontId="23" fillId="0" borderId="4" xfId="0" applyNumberFormat="1" applyFont="1" applyBorder="1" applyAlignment="1">
      <alignment horizontal="center" vertical="center" shrinkToFit="1"/>
    </xf>
    <xf numFmtId="1" fontId="23" fillId="0" borderId="4" xfId="0" applyNumberFormat="1" applyFont="1" applyBorder="1" applyAlignment="1">
      <alignment horizontal="center" vertical="center" shrinkToFit="1"/>
    </xf>
    <xf numFmtId="0" fontId="23" fillId="2" borderId="4" xfId="0" applyFont="1" applyFill="1" applyBorder="1" applyAlignment="1">
      <alignment horizontal="left" vertical="center" wrapText="1"/>
    </xf>
    <xf numFmtId="1" fontId="23" fillId="2" borderId="4" xfId="0" applyNumberFormat="1" applyFont="1" applyFill="1" applyBorder="1" applyAlignment="1">
      <alignment horizontal="center" vertical="center" shrinkToFit="1"/>
    </xf>
    <xf numFmtId="0" fontId="23" fillId="2" borderId="46" xfId="0" applyFont="1" applyFill="1" applyBorder="1" applyAlignment="1">
      <alignment horizontal="center" vertical="center" shrinkToFit="1"/>
    </xf>
    <xf numFmtId="0" fontId="23" fillId="0" borderId="4" xfId="0" applyFont="1" applyBorder="1" applyAlignment="1">
      <alignment horizontal="center" vertical="center" shrinkToFit="1"/>
    </xf>
    <xf numFmtId="0" fontId="24" fillId="2" borderId="4" xfId="0" applyFont="1" applyFill="1" applyBorder="1" applyAlignment="1">
      <alignment horizontal="left" vertical="center" wrapText="1"/>
    </xf>
    <xf numFmtId="2" fontId="23" fillId="2" borderId="15" xfId="0" applyNumberFormat="1" applyFont="1" applyFill="1" applyBorder="1" applyAlignment="1">
      <alignment horizontal="center" vertical="center" shrinkToFit="1"/>
    </xf>
    <xf numFmtId="0" fontId="23" fillId="0" borderId="0" xfId="0" applyFont="1" applyAlignment="1">
      <alignment horizontal="center" vertical="center"/>
    </xf>
    <xf numFmtId="0" fontId="23" fillId="2" borderId="4" xfId="0" applyFont="1" applyFill="1" applyBorder="1" applyAlignment="1">
      <alignment horizontal="center" vertical="center" wrapText="1"/>
    </xf>
    <xf numFmtId="0" fontId="23" fillId="2" borderId="4" xfId="0" applyFont="1" applyFill="1" applyBorder="1" applyAlignment="1">
      <alignment horizontal="center" vertical="center"/>
    </xf>
    <xf numFmtId="0" fontId="0" fillId="2" borderId="45" xfId="0" applyFill="1" applyBorder="1" applyAlignment="1">
      <alignment horizontal="center" vertical="center"/>
    </xf>
    <xf numFmtId="49" fontId="24" fillId="2" borderId="45" xfId="0" applyNumberFormat="1" applyFont="1" applyFill="1" applyBorder="1" applyAlignment="1">
      <alignment horizontal="center" vertical="center"/>
    </xf>
    <xf numFmtId="166" fontId="24" fillId="2" borderId="45" xfId="0" applyNumberFormat="1" applyFont="1" applyFill="1" applyBorder="1" applyAlignment="1">
      <alignment horizontal="center" vertical="center"/>
    </xf>
    <xf numFmtId="166" fontId="24" fillId="2" borderId="18" xfId="0" applyNumberFormat="1" applyFont="1" applyFill="1" applyBorder="1" applyAlignment="1">
      <alignment horizontal="center" vertical="center"/>
    </xf>
    <xf numFmtId="0" fontId="29" fillId="2" borderId="45" xfId="0" applyFont="1" applyFill="1" applyBorder="1" applyAlignment="1">
      <alignment vertical="center"/>
    </xf>
    <xf numFmtId="0" fontId="23" fillId="2" borderId="45" xfId="0" applyFont="1" applyFill="1" applyBorder="1" applyAlignment="1">
      <alignment vertical="center" wrapText="1"/>
    </xf>
    <xf numFmtId="0" fontId="23" fillId="2" borderId="40" xfId="0" applyFont="1" applyFill="1" applyBorder="1" applyAlignment="1">
      <alignment horizontal="center" vertical="center"/>
    </xf>
    <xf numFmtId="0" fontId="24" fillId="2" borderId="40" xfId="0" applyFont="1" applyFill="1" applyBorder="1" applyAlignment="1">
      <alignment vertical="center"/>
    </xf>
    <xf numFmtId="0" fontId="24" fillId="2" borderId="18" xfId="0" applyFont="1" applyFill="1" applyBorder="1" applyAlignment="1">
      <alignment vertical="center"/>
    </xf>
    <xf numFmtId="0" fontId="24" fillId="9" borderId="4" xfId="0" applyFont="1" applyFill="1" applyBorder="1" applyAlignment="1">
      <alignment horizontal="left" vertical="center" wrapText="1"/>
    </xf>
    <xf numFmtId="0" fontId="23" fillId="2" borderId="4" xfId="12" applyFont="1" applyFill="1" applyBorder="1" applyAlignment="1">
      <alignment horizontal="center" vertical="center" shrinkToFit="1"/>
    </xf>
    <xf numFmtId="165" fontId="23" fillId="2" borderId="4" xfId="12" applyNumberFormat="1" applyFont="1" applyFill="1" applyBorder="1" applyAlignment="1">
      <alignment horizontal="center" vertical="center"/>
    </xf>
    <xf numFmtId="165" fontId="23" fillId="2" borderId="25" xfId="12" applyNumberFormat="1" applyFont="1" applyFill="1" applyBorder="1" applyAlignment="1">
      <alignment horizontal="center" vertical="center"/>
    </xf>
    <xf numFmtId="165" fontId="24" fillId="5" borderId="8" xfId="12" applyNumberFormat="1" applyFont="1" applyFill="1" applyBorder="1" applyAlignment="1">
      <alignment horizontal="center" vertical="center"/>
    </xf>
    <xf numFmtId="165" fontId="24" fillId="5" borderId="52" xfId="12" applyNumberFormat="1" applyFont="1" applyFill="1" applyBorder="1" applyAlignment="1">
      <alignment horizontal="center" vertical="center"/>
    </xf>
    <xf numFmtId="165" fontId="24" fillId="7" borderId="14" xfId="12" applyNumberFormat="1" applyFont="1" applyFill="1" applyBorder="1" applyAlignment="1">
      <alignment horizontal="center" vertical="center"/>
    </xf>
    <xf numFmtId="165" fontId="24" fillId="7" borderId="17" xfId="0" applyNumberFormat="1" applyFont="1" applyFill="1" applyBorder="1" applyAlignment="1">
      <alignment horizontal="center" vertical="center"/>
    </xf>
    <xf numFmtId="165" fontId="36" fillId="0" borderId="0" xfId="11" applyNumberFormat="1" applyAlignment="1">
      <alignment horizontal="left" vertical="top"/>
    </xf>
    <xf numFmtId="0" fontId="24" fillId="2" borderId="0" xfId="0" applyFont="1" applyFill="1" applyAlignment="1">
      <alignment horizontal="center" vertical="center"/>
    </xf>
    <xf numFmtId="0" fontId="24" fillId="2" borderId="45" xfId="0" applyFont="1" applyFill="1" applyBorder="1" applyAlignment="1">
      <alignment horizontal="center" vertical="center"/>
    </xf>
    <xf numFmtId="0" fontId="24" fillId="0" borderId="27" xfId="5" applyFont="1" applyBorder="1" applyAlignment="1">
      <alignment horizontal="center" vertical="center" wrapText="1"/>
    </xf>
    <xf numFmtId="10" fontId="24" fillId="0" borderId="4" xfId="0" applyNumberFormat="1" applyFont="1" applyBorder="1" applyAlignment="1">
      <alignment horizontal="center" vertical="center"/>
    </xf>
    <xf numFmtId="10" fontId="0" fillId="0" borderId="4" xfId="0" applyNumberFormat="1" applyBorder="1" applyAlignment="1">
      <alignment horizontal="center" vertical="center"/>
    </xf>
    <xf numFmtId="0" fontId="0" fillId="2" borderId="0" xfId="0" applyFill="1"/>
    <xf numFmtId="0" fontId="0" fillId="2" borderId="45" xfId="0" applyFill="1" applyBorder="1"/>
    <xf numFmtId="0" fontId="0" fillId="2" borderId="36" xfId="0" applyFill="1" applyBorder="1"/>
    <xf numFmtId="10" fontId="23" fillId="2" borderId="4" xfId="2" applyNumberFormat="1" applyFont="1" applyFill="1" applyBorder="1" applyAlignment="1">
      <alignment horizontal="center" vertical="center"/>
    </xf>
    <xf numFmtId="10" fontId="23" fillId="2" borderId="4" xfId="0" applyNumberFormat="1" applyFont="1" applyFill="1" applyBorder="1" applyAlignment="1">
      <alignment horizontal="center" vertical="center"/>
    </xf>
    <xf numFmtId="0" fontId="8" fillId="0" borderId="0" xfId="0" applyFont="1" applyAlignment="1">
      <alignment horizontal="justify"/>
    </xf>
    <xf numFmtId="0" fontId="7" fillId="0" borderId="0" xfId="0" applyFont="1" applyAlignment="1">
      <alignment horizontal="center"/>
    </xf>
    <xf numFmtId="0" fontId="0" fillId="0" borderId="12" xfId="0" applyBorder="1" applyAlignment="1">
      <alignment horizontal="center"/>
    </xf>
    <xf numFmtId="0" fontId="0" fillId="0" borderId="10"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6" xfId="0" applyBorder="1" applyAlignment="1">
      <alignment horizontal="center"/>
    </xf>
    <xf numFmtId="0" fontId="13" fillId="0" borderId="0" xfId="0" applyFont="1" applyAlignment="1">
      <alignment horizontal="justify" wrapText="1"/>
    </xf>
    <xf numFmtId="0" fontId="17" fillId="0" borderId="17" xfId="0" applyFont="1" applyBorder="1" applyAlignment="1">
      <alignment horizontal="center" vertical="center" wrapText="1"/>
    </xf>
    <xf numFmtId="0" fontId="24" fillId="7" borderId="10" xfId="0" applyFont="1" applyFill="1" applyBorder="1" applyAlignment="1">
      <alignment horizontal="center" vertical="center" wrapText="1"/>
    </xf>
    <xf numFmtId="0" fontId="24" fillId="7" borderId="13" xfId="0" applyFont="1" applyFill="1" applyBorder="1" applyAlignment="1">
      <alignment horizontal="center" vertical="center" wrapText="1"/>
    </xf>
    <xf numFmtId="0" fontId="24" fillId="7" borderId="9" xfId="0" applyFont="1" applyFill="1" applyBorder="1" applyAlignment="1">
      <alignment horizontal="center" vertical="center"/>
    </xf>
    <xf numFmtId="0" fontId="24" fillId="7" borderId="43" xfId="0" applyFont="1" applyFill="1" applyBorder="1" applyAlignment="1">
      <alignment horizontal="center" vertical="center"/>
    </xf>
    <xf numFmtId="0" fontId="24" fillId="7" borderId="11" xfId="0" applyFont="1" applyFill="1" applyBorder="1" applyAlignment="1">
      <alignment horizontal="center" vertical="center"/>
    </xf>
    <xf numFmtId="0" fontId="23" fillId="0" borderId="19" xfId="0" applyFont="1" applyBorder="1" applyAlignment="1">
      <alignment horizontal="center" vertical="center"/>
    </xf>
    <xf numFmtId="0" fontId="23" fillId="0" borderId="40" xfId="0" applyFont="1" applyBorder="1" applyAlignment="1">
      <alignment horizontal="center" vertical="center"/>
    </xf>
    <xf numFmtId="0" fontId="23" fillId="0" borderId="18" xfId="0" applyFont="1" applyBorder="1" applyAlignment="1">
      <alignment horizontal="center" vertical="center"/>
    </xf>
    <xf numFmtId="0" fontId="24" fillId="7" borderId="9" xfId="0" applyFont="1" applyFill="1" applyBorder="1" applyAlignment="1">
      <alignment horizontal="center" vertical="center" wrapText="1"/>
    </xf>
    <xf numFmtId="0" fontId="24" fillId="7" borderId="44" xfId="0" applyFont="1" applyFill="1" applyBorder="1" applyAlignment="1">
      <alignment horizontal="center" vertical="center" wrapText="1"/>
    </xf>
    <xf numFmtId="0" fontId="24" fillId="2" borderId="10" xfId="0" applyFont="1" applyFill="1" applyBorder="1" applyAlignment="1">
      <alignment horizontal="center" vertical="center" wrapText="1"/>
    </xf>
    <xf numFmtId="0" fontId="24" fillId="2" borderId="13" xfId="0" applyFont="1" applyFill="1" applyBorder="1" applyAlignment="1">
      <alignment horizontal="center" vertical="center" wrapText="1"/>
    </xf>
    <xf numFmtId="0" fontId="29" fillId="7" borderId="12" xfId="0" applyFont="1" applyFill="1" applyBorder="1" applyAlignment="1">
      <alignment horizontal="center" vertical="center" wrapText="1"/>
    </xf>
    <xf numFmtId="0" fontId="29" fillId="7" borderId="10" xfId="0" applyFont="1" applyFill="1" applyBorder="1" applyAlignment="1">
      <alignment horizontal="center" vertical="center" wrapText="1"/>
    </xf>
    <xf numFmtId="0" fontId="29" fillId="7" borderId="13" xfId="0" applyFont="1" applyFill="1" applyBorder="1" applyAlignment="1">
      <alignment horizontal="center" vertical="center" wrapText="1"/>
    </xf>
    <xf numFmtId="0" fontId="24" fillId="2" borderId="32" xfId="0" applyFont="1" applyFill="1" applyBorder="1" applyAlignment="1">
      <alignment horizontal="center" vertical="center"/>
    </xf>
    <xf numFmtId="0" fontId="24" fillId="2" borderId="33" xfId="0" applyFont="1" applyFill="1" applyBorder="1" applyAlignment="1">
      <alignment horizontal="center" vertical="center"/>
    </xf>
    <xf numFmtId="0" fontId="24" fillId="2" borderId="34" xfId="0" applyFont="1" applyFill="1" applyBorder="1" applyAlignment="1">
      <alignment horizontal="center" vertical="center"/>
    </xf>
    <xf numFmtId="0" fontId="24" fillId="2" borderId="50" xfId="0" applyFont="1" applyFill="1" applyBorder="1" applyAlignment="1">
      <alignment horizontal="center" vertical="center"/>
    </xf>
    <xf numFmtId="0" fontId="24" fillId="2" borderId="51" xfId="0" applyFont="1" applyFill="1" applyBorder="1" applyAlignment="1">
      <alignment horizontal="center" vertical="center"/>
    </xf>
    <xf numFmtId="0" fontId="23" fillId="2" borderId="4" xfId="0" applyFont="1" applyFill="1" applyBorder="1" applyAlignment="1">
      <alignment horizontal="center" vertical="center" wrapText="1"/>
    </xf>
    <xf numFmtId="0" fontId="23" fillId="2" borderId="4" xfId="0" applyFont="1" applyFill="1" applyBorder="1" applyAlignment="1">
      <alignment horizontal="center" vertical="center"/>
    </xf>
    <xf numFmtId="0" fontId="29" fillId="2" borderId="47" xfId="0" applyFont="1" applyFill="1" applyBorder="1" applyAlignment="1">
      <alignment horizontal="center" vertical="center"/>
    </xf>
    <xf numFmtId="0" fontId="29" fillId="2" borderId="48" xfId="0" applyFont="1" applyFill="1" applyBorder="1" applyAlignment="1">
      <alignment horizontal="center" vertical="center"/>
    </xf>
    <xf numFmtId="0" fontId="29" fillId="2" borderId="49" xfId="0" applyFont="1" applyFill="1" applyBorder="1" applyAlignment="1">
      <alignment horizontal="center" vertical="center"/>
    </xf>
    <xf numFmtId="0" fontId="29" fillId="2" borderId="0" xfId="0" applyFont="1" applyFill="1" applyAlignment="1">
      <alignment horizontal="center" vertical="center"/>
    </xf>
    <xf numFmtId="0" fontId="29" fillId="2" borderId="45" xfId="0" applyFont="1" applyFill="1" applyBorder="1" applyAlignment="1">
      <alignment horizontal="center" vertical="center"/>
    </xf>
    <xf numFmtId="0" fontId="24" fillId="2" borderId="0" xfId="0" applyFont="1" applyFill="1" applyAlignment="1">
      <alignment horizontal="center" vertical="center"/>
    </xf>
    <xf numFmtId="0" fontId="24" fillId="2" borderId="45" xfId="0" applyFont="1" applyFill="1" applyBorder="1" applyAlignment="1">
      <alignment horizontal="center" vertical="center"/>
    </xf>
    <xf numFmtId="0" fontId="24" fillId="2" borderId="47" xfId="0" applyFont="1" applyFill="1" applyBorder="1" applyAlignment="1">
      <alignment horizontal="center" vertical="center" wrapText="1"/>
    </xf>
    <xf numFmtId="0" fontId="24" fillId="2" borderId="48" xfId="0" applyFont="1" applyFill="1" applyBorder="1" applyAlignment="1">
      <alignment horizontal="center" vertical="center" wrapText="1"/>
    </xf>
    <xf numFmtId="0" fontId="24" fillId="2" borderId="49" xfId="0" applyFont="1" applyFill="1" applyBorder="1" applyAlignment="1">
      <alignment horizontal="center" vertical="center" wrapText="1"/>
    </xf>
    <xf numFmtId="0" fontId="2" fillId="2" borderId="47" xfId="0" applyFont="1" applyFill="1" applyBorder="1" applyAlignment="1">
      <alignment horizontal="center" vertical="center"/>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3" fillId="2" borderId="1"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4" fillId="7" borderId="12" xfId="0" applyFont="1" applyFill="1" applyBorder="1" applyAlignment="1">
      <alignment horizontal="center" vertical="center" wrapText="1"/>
    </xf>
    <xf numFmtId="0" fontId="29" fillId="2" borderId="37" xfId="0" applyFont="1" applyFill="1" applyBorder="1" applyAlignment="1">
      <alignment horizontal="center" vertical="center"/>
    </xf>
    <xf numFmtId="0" fontId="29" fillId="2" borderId="38" xfId="0" applyFont="1" applyFill="1" applyBorder="1" applyAlignment="1">
      <alignment horizontal="center" vertical="center"/>
    </xf>
    <xf numFmtId="0" fontId="29" fillId="2" borderId="39" xfId="0" applyFont="1" applyFill="1" applyBorder="1" applyAlignment="1">
      <alignment horizontal="center" vertical="center"/>
    </xf>
    <xf numFmtId="0" fontId="29" fillId="2" borderId="47" xfId="0" applyFont="1" applyFill="1" applyBorder="1" applyAlignment="1">
      <alignment horizontal="center" vertical="center" wrapText="1"/>
    </xf>
    <xf numFmtId="0" fontId="29" fillId="2" borderId="48" xfId="0" applyFont="1" applyFill="1" applyBorder="1" applyAlignment="1">
      <alignment horizontal="center" vertical="center" wrapText="1"/>
    </xf>
    <xf numFmtId="0" fontId="29" fillId="2" borderId="49" xfId="0" applyFont="1" applyFill="1" applyBorder="1" applyAlignment="1">
      <alignment horizontal="center" vertical="center" wrapText="1"/>
    </xf>
    <xf numFmtId="0" fontId="24" fillId="5" borderId="24" xfId="5" applyFont="1" applyFill="1" applyBorder="1" applyAlignment="1">
      <alignment horizontal="center" vertical="center" wrapText="1"/>
    </xf>
    <xf numFmtId="0" fontId="24" fillId="5" borderId="2" xfId="5" applyFont="1" applyFill="1" applyBorder="1" applyAlignment="1">
      <alignment horizontal="center" vertical="center" wrapText="1"/>
    </xf>
    <xf numFmtId="0" fontId="24" fillId="5" borderId="3" xfId="5" applyFont="1" applyFill="1" applyBorder="1" applyAlignment="1">
      <alignment horizontal="center" vertical="center" wrapText="1"/>
    </xf>
    <xf numFmtId="0" fontId="24" fillId="8" borderId="24" xfId="5" applyFont="1" applyFill="1" applyBorder="1" applyAlignment="1">
      <alignment horizontal="center" vertical="center"/>
    </xf>
    <xf numFmtId="0" fontId="24" fillId="8" borderId="2" xfId="5" applyFont="1" applyFill="1" applyBorder="1" applyAlignment="1">
      <alignment horizontal="center" vertical="center"/>
    </xf>
    <xf numFmtId="0" fontId="24" fillId="8" borderId="26" xfId="5" applyFont="1" applyFill="1" applyBorder="1" applyAlignment="1">
      <alignment horizontal="center" vertical="center"/>
    </xf>
    <xf numFmtId="0" fontId="24" fillId="2" borderId="24" xfId="5" applyFont="1" applyFill="1" applyBorder="1" applyAlignment="1">
      <alignment horizontal="center" vertical="center"/>
    </xf>
    <xf numFmtId="0" fontId="24" fillId="2" borderId="2" xfId="5" applyFont="1" applyFill="1" applyBorder="1" applyAlignment="1">
      <alignment horizontal="center" vertical="center"/>
    </xf>
    <xf numFmtId="0" fontId="24" fillId="2" borderId="26" xfId="5" applyFont="1" applyFill="1" applyBorder="1" applyAlignment="1">
      <alignment horizontal="center" vertical="center"/>
    </xf>
    <xf numFmtId="164" fontId="24" fillId="2" borderId="1" xfId="2" applyNumberFormat="1" applyFont="1" applyFill="1" applyBorder="1" applyAlignment="1">
      <alignment horizontal="center" vertical="center"/>
    </xf>
    <xf numFmtId="164" fontId="24" fillId="2" borderId="3" xfId="2" applyNumberFormat="1" applyFont="1" applyFill="1" applyBorder="1" applyAlignment="1">
      <alignment horizontal="center" vertical="center"/>
    </xf>
    <xf numFmtId="0" fontId="24" fillId="4" borderId="24" xfId="5" applyFont="1" applyFill="1" applyBorder="1" applyAlignment="1">
      <alignment horizontal="center" vertical="center"/>
    </xf>
    <xf numFmtId="0" fontId="24" fillId="4" borderId="2" xfId="5" applyFont="1" applyFill="1" applyBorder="1" applyAlignment="1">
      <alignment horizontal="center" vertical="center"/>
    </xf>
    <xf numFmtId="0" fontId="24" fillId="4" borderId="26" xfId="5" applyFont="1" applyFill="1" applyBorder="1" applyAlignment="1">
      <alignment horizontal="center" vertical="center"/>
    </xf>
    <xf numFmtId="164" fontId="24" fillId="2" borderId="1" xfId="2" applyNumberFormat="1" applyFont="1" applyFill="1" applyBorder="1" applyAlignment="1">
      <alignment horizontal="justify" vertical="center"/>
    </xf>
    <xf numFmtId="164" fontId="24" fillId="2" borderId="3" xfId="2" applyNumberFormat="1" applyFont="1" applyFill="1" applyBorder="1" applyAlignment="1">
      <alignment horizontal="justify" vertical="center"/>
    </xf>
    <xf numFmtId="0" fontId="32" fillId="2" borderId="24" xfId="5" applyFont="1" applyFill="1" applyBorder="1" applyAlignment="1">
      <alignment horizontal="center" vertical="center" wrapText="1"/>
    </xf>
    <xf numFmtId="0" fontId="32" fillId="2" borderId="2" xfId="5" applyFont="1" applyFill="1" applyBorder="1" applyAlignment="1">
      <alignment horizontal="center" vertical="center" wrapText="1"/>
    </xf>
    <xf numFmtId="0" fontId="32" fillId="2" borderId="26" xfId="5" applyFont="1" applyFill="1" applyBorder="1" applyAlignment="1">
      <alignment horizontal="center" vertical="center" wrapText="1"/>
    </xf>
    <xf numFmtId="164" fontId="26" fillId="2" borderId="1" xfId="2" applyNumberFormat="1" applyFont="1" applyFill="1" applyBorder="1" applyAlignment="1">
      <alignment horizontal="justify" vertical="center"/>
    </xf>
    <xf numFmtId="164" fontId="26" fillId="2" borderId="3" xfId="2" applyNumberFormat="1" applyFont="1" applyFill="1" applyBorder="1" applyAlignment="1">
      <alignment horizontal="justify" vertical="center"/>
    </xf>
    <xf numFmtId="0" fontId="24" fillId="6" borderId="37" xfId="0" applyFont="1" applyFill="1" applyBorder="1" applyAlignment="1">
      <alignment horizontal="center" vertical="center"/>
    </xf>
    <xf numFmtId="0" fontId="24" fillId="6" borderId="38" xfId="0" applyFont="1" applyFill="1" applyBorder="1" applyAlignment="1">
      <alignment horizontal="center" vertical="center"/>
    </xf>
    <xf numFmtId="0" fontId="24" fillId="6" borderId="39" xfId="0" applyFont="1" applyFill="1" applyBorder="1" applyAlignment="1">
      <alignment horizontal="center" vertical="center"/>
    </xf>
    <xf numFmtId="0" fontId="23" fillId="2" borderId="1" xfId="3" applyFont="1" applyFill="1" applyBorder="1" applyAlignment="1">
      <alignment horizontal="center" vertical="center" wrapText="1"/>
    </xf>
    <xf numFmtId="0" fontId="23" fillId="2" borderId="2" xfId="3" applyFont="1" applyFill="1" applyBorder="1" applyAlignment="1">
      <alignment horizontal="center" vertical="center" wrapText="1"/>
    </xf>
    <xf numFmtId="0" fontId="23" fillId="2" borderId="26" xfId="3" applyFont="1" applyFill="1" applyBorder="1" applyAlignment="1">
      <alignment horizontal="center" vertical="center" wrapText="1"/>
    </xf>
    <xf numFmtId="0" fontId="24" fillId="2" borderId="24" xfId="3" applyFont="1" applyFill="1" applyBorder="1" applyAlignment="1">
      <alignment horizontal="center" vertical="center"/>
    </xf>
    <xf numFmtId="0" fontId="24" fillId="2" borderId="2" xfId="3" applyFont="1" applyFill="1" applyBorder="1" applyAlignment="1">
      <alignment horizontal="center" vertical="center"/>
    </xf>
    <xf numFmtId="0" fontId="24" fillId="2" borderId="26" xfId="3" applyFont="1" applyFill="1" applyBorder="1" applyAlignment="1">
      <alignment horizontal="center" vertical="center"/>
    </xf>
    <xf numFmtId="0" fontId="24" fillId="2" borderId="28" xfId="3" applyFont="1" applyFill="1" applyBorder="1" applyAlignment="1">
      <alignment horizontal="center" vertical="center"/>
    </xf>
    <xf numFmtId="0" fontId="24" fillId="2" borderId="5" xfId="3" applyFont="1" applyFill="1" applyBorder="1" applyAlignment="1">
      <alignment horizontal="center" vertical="center"/>
    </xf>
    <xf numFmtId="0" fontId="24" fillId="2" borderId="29" xfId="3" applyFont="1" applyFill="1" applyBorder="1" applyAlignment="1">
      <alignment horizontal="center" vertical="center"/>
    </xf>
    <xf numFmtId="0" fontId="23" fillId="2" borderId="1" xfId="4" applyFont="1" applyFill="1" applyBorder="1" applyAlignment="1">
      <alignment horizontal="center" vertical="center" wrapText="1"/>
    </xf>
    <xf numFmtId="0" fontId="23" fillId="2" borderId="2" xfId="4" applyFont="1" applyFill="1" applyBorder="1" applyAlignment="1">
      <alignment horizontal="center" vertical="center" wrapText="1"/>
    </xf>
    <xf numFmtId="0" fontId="23" fillId="2" borderId="26" xfId="4" applyFont="1" applyFill="1" applyBorder="1" applyAlignment="1">
      <alignment horizontal="center" vertical="center" wrapText="1"/>
    </xf>
    <xf numFmtId="0" fontId="24" fillId="2" borderId="24" xfId="5" applyFont="1" applyFill="1" applyBorder="1" applyAlignment="1">
      <alignment horizontal="center" vertical="center" wrapText="1"/>
    </xf>
    <xf numFmtId="0" fontId="24" fillId="2" borderId="2" xfId="5" applyFont="1" applyFill="1" applyBorder="1" applyAlignment="1">
      <alignment horizontal="center" vertical="center" wrapText="1"/>
    </xf>
    <xf numFmtId="0" fontId="24" fillId="2" borderId="3" xfId="5" applyFont="1" applyFill="1" applyBorder="1" applyAlignment="1">
      <alignment horizontal="center" vertical="center" wrapText="1"/>
    </xf>
    <xf numFmtId="0" fontId="24" fillId="2" borderId="1" xfId="0" applyFont="1" applyFill="1" applyBorder="1" applyAlignment="1">
      <alignment horizontal="center" vertical="center"/>
    </xf>
    <xf numFmtId="0" fontId="24" fillId="2" borderId="2" xfId="0" applyFont="1" applyFill="1" applyBorder="1" applyAlignment="1">
      <alignment horizontal="center" vertical="center"/>
    </xf>
    <xf numFmtId="0" fontId="24" fillId="2" borderId="26" xfId="0" applyFont="1" applyFill="1" applyBorder="1" applyAlignment="1">
      <alignment horizontal="center" vertical="center"/>
    </xf>
    <xf numFmtId="165" fontId="24" fillId="2" borderId="1" xfId="1" applyNumberFormat="1" applyFont="1" applyFill="1" applyBorder="1" applyAlignment="1">
      <alignment horizontal="center" vertical="center" wrapText="1"/>
    </xf>
    <xf numFmtId="165" fontId="24" fillId="2" borderId="2" xfId="1" applyNumberFormat="1" applyFont="1" applyFill="1" applyBorder="1" applyAlignment="1">
      <alignment horizontal="center" vertical="center" wrapText="1"/>
    </xf>
    <xf numFmtId="165" fontId="24" fillId="2" borderId="26" xfId="1" applyNumberFormat="1" applyFont="1" applyFill="1" applyBorder="1" applyAlignment="1">
      <alignment horizontal="center" vertical="center" wrapText="1"/>
    </xf>
    <xf numFmtId="0" fontId="24" fillId="4" borderId="19" xfId="3" applyFont="1" applyFill="1" applyBorder="1" applyAlignment="1">
      <alignment horizontal="center" vertical="center" wrapText="1"/>
    </xf>
    <xf numFmtId="0" fontId="24" fillId="4" borderId="40" xfId="3" applyFont="1" applyFill="1" applyBorder="1" applyAlignment="1">
      <alignment horizontal="center" vertical="center" wrapText="1"/>
    </xf>
    <xf numFmtId="0" fontId="24" fillId="4" borderId="18" xfId="3" applyFont="1" applyFill="1" applyBorder="1" applyAlignment="1">
      <alignment horizontal="center" vertical="center" wrapText="1"/>
    </xf>
    <xf numFmtId="0" fontId="24" fillId="2" borderId="1" xfId="3" applyFont="1" applyFill="1" applyBorder="1" applyAlignment="1">
      <alignment horizontal="center" vertical="center" wrapText="1"/>
    </xf>
    <xf numFmtId="0" fontId="24" fillId="2" borderId="2" xfId="3" applyFont="1" applyFill="1" applyBorder="1" applyAlignment="1">
      <alignment horizontal="center" vertical="center" wrapText="1"/>
    </xf>
    <xf numFmtId="0" fontId="24" fillId="2" borderId="26" xfId="3" applyFont="1" applyFill="1" applyBorder="1" applyAlignment="1">
      <alignment horizontal="center" vertical="center" wrapText="1"/>
    </xf>
    <xf numFmtId="0" fontId="24" fillId="2" borderId="37" xfId="3" applyFont="1" applyFill="1" applyBorder="1" applyAlignment="1">
      <alignment horizontal="center" vertical="center"/>
    </xf>
    <xf numFmtId="0" fontId="24" fillId="2" borderId="38" xfId="3" applyFont="1" applyFill="1" applyBorder="1" applyAlignment="1">
      <alignment horizontal="center" vertical="center"/>
    </xf>
    <xf numFmtId="0" fontId="24" fillId="2" borderId="39" xfId="3" applyFont="1" applyFill="1" applyBorder="1" applyAlignment="1">
      <alignment horizontal="center" vertical="center"/>
    </xf>
    <xf numFmtId="0" fontId="24" fillId="6" borderId="24" xfId="5" applyFont="1" applyFill="1" applyBorder="1" applyAlignment="1">
      <alignment horizontal="center" vertical="center" wrapText="1"/>
    </xf>
    <xf numFmtId="0" fontId="24" fillId="6" borderId="2" xfId="5" applyFont="1" applyFill="1" applyBorder="1" applyAlignment="1">
      <alignment horizontal="center" vertical="center" wrapText="1"/>
    </xf>
    <xf numFmtId="0" fontId="24" fillId="6" borderId="3" xfId="5" applyFont="1" applyFill="1" applyBorder="1" applyAlignment="1">
      <alignment horizontal="center" vertical="center" wrapText="1"/>
    </xf>
    <xf numFmtId="0" fontId="24" fillId="2" borderId="1" xfId="5" applyFont="1" applyFill="1" applyBorder="1" applyAlignment="1">
      <alignment horizontal="left" vertical="center" wrapText="1"/>
    </xf>
    <xf numFmtId="0" fontId="24" fillId="2" borderId="2" xfId="5" applyFont="1" applyFill="1" applyBorder="1" applyAlignment="1">
      <alignment horizontal="left" vertical="center" wrapText="1"/>
    </xf>
    <xf numFmtId="0" fontId="24" fillId="2" borderId="3" xfId="5" applyFont="1" applyFill="1" applyBorder="1" applyAlignment="1">
      <alignment horizontal="left" vertical="center" wrapText="1"/>
    </xf>
    <xf numFmtId="0" fontId="24" fillId="2" borderId="22" xfId="3" applyFont="1" applyFill="1" applyBorder="1" applyAlignment="1">
      <alignment horizontal="center" vertical="center"/>
    </xf>
    <xf numFmtId="0" fontId="24" fillId="2" borderId="6" xfId="3" applyFont="1" applyFill="1" applyBorder="1" applyAlignment="1">
      <alignment horizontal="center" vertical="center"/>
    </xf>
    <xf numFmtId="0" fontId="24" fillId="2" borderId="30" xfId="3" applyFont="1" applyFill="1" applyBorder="1" applyAlignment="1">
      <alignment horizontal="center" vertical="center"/>
    </xf>
    <xf numFmtId="0" fontId="23" fillId="2" borderId="1" xfId="0" applyFont="1" applyFill="1" applyBorder="1" applyAlignment="1">
      <alignment horizontal="justify" vertical="center"/>
    </xf>
    <xf numFmtId="0" fontId="23" fillId="2" borderId="3" xfId="0" applyFont="1" applyFill="1" applyBorder="1" applyAlignment="1">
      <alignment horizontal="justify" vertical="center"/>
    </xf>
    <xf numFmtId="0" fontId="20" fillId="0" borderId="0" xfId="0" applyFont="1" applyAlignment="1">
      <alignment horizontal="center" vertical="center"/>
    </xf>
    <xf numFmtId="0" fontId="24" fillId="5" borderId="22" xfId="5" applyFont="1" applyFill="1" applyBorder="1" applyAlignment="1">
      <alignment horizontal="center" vertical="center" wrapText="1"/>
    </xf>
    <xf numFmtId="0" fontId="24" fillId="5" borderId="6" xfId="5" applyFont="1" applyFill="1" applyBorder="1" applyAlignment="1">
      <alignment horizontal="center" vertical="center" wrapText="1"/>
    </xf>
    <xf numFmtId="0" fontId="24" fillId="5" borderId="7" xfId="5" applyFont="1" applyFill="1" applyBorder="1" applyAlignment="1">
      <alignment horizontal="center" vertical="center" wrapText="1"/>
    </xf>
    <xf numFmtId="0" fontId="24" fillId="3" borderId="24" xfId="5" applyFont="1" applyFill="1" applyBorder="1" applyAlignment="1">
      <alignment horizontal="center" vertical="center" wrapText="1"/>
    </xf>
    <xf numFmtId="0" fontId="24" fillId="3" borderId="2" xfId="5" applyFont="1" applyFill="1" applyBorder="1" applyAlignment="1">
      <alignment horizontal="center" vertical="center" wrapText="1"/>
    </xf>
    <xf numFmtId="0" fontId="24" fillId="3" borderId="3" xfId="5" applyFont="1" applyFill="1" applyBorder="1" applyAlignment="1">
      <alignment horizontal="center" vertical="center" wrapText="1"/>
    </xf>
    <xf numFmtId="0" fontId="23" fillId="0" borderId="1" xfId="5" applyFont="1" applyBorder="1" applyAlignment="1">
      <alignment horizontal="left" vertical="center" wrapText="1"/>
    </xf>
    <xf numFmtId="0" fontId="23" fillId="0" borderId="2" xfId="5" applyFont="1" applyBorder="1" applyAlignment="1">
      <alignment horizontal="left" vertical="center" wrapText="1"/>
    </xf>
    <xf numFmtId="0" fontId="23" fillId="0" borderId="3" xfId="5" applyFont="1" applyBorder="1" applyAlignment="1">
      <alignment horizontal="left" vertical="center" wrapText="1"/>
    </xf>
    <xf numFmtId="0" fontId="24" fillId="0" borderId="24" xfId="5" applyFont="1" applyBorder="1" applyAlignment="1">
      <alignment horizontal="center" vertical="center" wrapText="1"/>
    </xf>
    <xf numFmtId="0" fontId="24" fillId="0" borderId="2" xfId="5" applyFont="1" applyBorder="1" applyAlignment="1">
      <alignment horizontal="center" vertical="center" wrapText="1"/>
    </xf>
    <xf numFmtId="0" fontId="24" fillId="0" borderId="3" xfId="5" applyFont="1" applyBorder="1" applyAlignment="1">
      <alignment horizontal="center" vertical="center" wrapText="1"/>
    </xf>
    <xf numFmtId="0" fontId="24" fillId="5" borderId="32" xfId="5" applyFont="1" applyFill="1" applyBorder="1" applyAlignment="1">
      <alignment horizontal="center" vertical="center" wrapText="1"/>
    </xf>
    <xf numFmtId="0" fontId="24" fillId="5" borderId="33" xfId="5" applyFont="1" applyFill="1" applyBorder="1" applyAlignment="1">
      <alignment horizontal="center" vertical="center" wrapText="1"/>
    </xf>
    <xf numFmtId="0" fontId="24" fillId="5" borderId="34" xfId="5" applyFont="1" applyFill="1" applyBorder="1" applyAlignment="1">
      <alignment horizontal="center" vertical="center" wrapText="1"/>
    </xf>
    <xf numFmtId="0" fontId="24" fillId="4" borderId="24" xfId="5" applyFont="1" applyFill="1" applyBorder="1" applyAlignment="1">
      <alignment horizontal="center" vertical="center" wrapText="1"/>
    </xf>
    <xf numFmtId="0" fontId="24" fillId="4" borderId="2" xfId="5" applyFont="1" applyFill="1" applyBorder="1" applyAlignment="1">
      <alignment horizontal="center" vertical="center" wrapText="1"/>
    </xf>
    <xf numFmtId="0" fontId="24" fillId="4" borderId="3" xfId="5" applyFont="1" applyFill="1" applyBorder="1" applyAlignment="1">
      <alignment horizontal="center" vertical="center" wrapText="1"/>
    </xf>
    <xf numFmtId="0" fontId="24" fillId="6" borderId="22" xfId="5" applyFont="1" applyFill="1" applyBorder="1" applyAlignment="1">
      <alignment horizontal="center" vertical="center" wrapText="1"/>
    </xf>
    <xf numFmtId="0" fontId="24" fillId="6" borderId="6" xfId="5" applyFont="1" applyFill="1" applyBorder="1" applyAlignment="1">
      <alignment horizontal="center" vertical="center" wrapText="1"/>
    </xf>
    <xf numFmtId="0" fontId="24" fillId="6" borderId="7" xfId="5" applyFont="1" applyFill="1" applyBorder="1" applyAlignment="1">
      <alignment horizontal="center" vertical="center" wrapText="1"/>
    </xf>
    <xf numFmtId="0" fontId="0" fillId="0" borderId="21" xfId="0" applyBorder="1" applyAlignment="1">
      <alignment horizontal="left" vertical="center" wrapText="1"/>
    </xf>
    <xf numFmtId="0" fontId="0" fillId="0" borderId="44" xfId="0" applyBorder="1" applyAlignment="1">
      <alignment horizontal="left" vertical="center" wrapText="1"/>
    </xf>
    <xf numFmtId="0" fontId="0" fillId="0" borderId="20" xfId="0" applyBorder="1" applyAlignment="1">
      <alignment horizontal="left" vertical="center" wrapText="1"/>
    </xf>
    <xf numFmtId="0" fontId="0" fillId="0" borderId="36" xfId="0" applyBorder="1" applyAlignment="1">
      <alignment horizontal="left" vertical="center" wrapText="1"/>
    </xf>
    <xf numFmtId="0" fontId="0" fillId="0" borderId="0" xfId="0" applyAlignment="1">
      <alignment horizontal="left" vertical="center" wrapText="1"/>
    </xf>
    <xf numFmtId="0" fontId="0" fillId="0" borderId="45" xfId="0" applyBorder="1" applyAlignment="1">
      <alignment horizontal="left" vertical="center" wrapText="1"/>
    </xf>
    <xf numFmtId="0" fontId="0" fillId="0" borderId="19" xfId="0" applyBorder="1" applyAlignment="1">
      <alignment horizontal="left" vertical="center" wrapText="1"/>
    </xf>
    <xf numFmtId="0" fontId="0" fillId="0" borderId="40" xfId="0" applyBorder="1" applyAlignment="1">
      <alignment horizontal="left" vertical="center" wrapText="1"/>
    </xf>
    <xf numFmtId="0" fontId="0" fillId="0" borderId="18" xfId="0" applyBorder="1" applyAlignment="1">
      <alignment horizontal="left" vertical="center" wrapText="1"/>
    </xf>
    <xf numFmtId="0" fontId="2" fillId="2" borderId="57"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59" xfId="0" applyFont="1" applyFill="1" applyBorder="1" applyAlignment="1">
      <alignment horizontal="center" vertical="center"/>
    </xf>
    <xf numFmtId="0" fontId="2" fillId="7" borderId="21" xfId="0" applyFont="1" applyFill="1" applyBorder="1" applyAlignment="1">
      <alignment horizontal="center" vertical="center"/>
    </xf>
    <xf numFmtId="0" fontId="2" fillId="7" borderId="44" xfId="0" applyFont="1" applyFill="1" applyBorder="1" applyAlignment="1">
      <alignment horizontal="center" vertical="center"/>
    </xf>
    <xf numFmtId="0" fontId="2" fillId="7" borderId="20" xfId="0" applyFont="1" applyFill="1" applyBorder="1" applyAlignment="1">
      <alignment horizontal="center" vertical="center"/>
    </xf>
    <xf numFmtId="0" fontId="2" fillId="7" borderId="47" xfId="0" applyFont="1" applyFill="1" applyBorder="1" applyAlignment="1">
      <alignment horizontal="center" vertical="center"/>
    </xf>
    <xf numFmtId="0" fontId="2" fillId="7" borderId="48" xfId="0" applyFont="1" applyFill="1" applyBorder="1" applyAlignment="1">
      <alignment horizontal="center" vertical="center"/>
    </xf>
    <xf numFmtId="0" fontId="2" fillId="7" borderId="49" xfId="0" applyFont="1" applyFill="1" applyBorder="1" applyAlignment="1">
      <alignment horizontal="center" vertical="center"/>
    </xf>
    <xf numFmtId="0" fontId="0" fillId="0" borderId="21" xfId="0" applyBorder="1" applyAlignment="1">
      <alignment horizontal="center" vertical="center"/>
    </xf>
    <xf numFmtId="0" fontId="0" fillId="0" borderId="44" xfId="0" applyBorder="1" applyAlignment="1">
      <alignment horizontal="center" vertical="center"/>
    </xf>
    <xf numFmtId="0" fontId="0" fillId="0" borderId="20" xfId="0" applyBorder="1" applyAlignment="1">
      <alignment horizontal="center" vertical="center"/>
    </xf>
    <xf numFmtId="0" fontId="2" fillId="5" borderId="50" xfId="0" applyFont="1" applyFill="1" applyBorder="1" applyAlignment="1">
      <alignment horizontal="center" vertical="center"/>
    </xf>
    <xf numFmtId="0" fontId="2" fillId="5" borderId="51" xfId="0" applyFont="1" applyFill="1" applyBorder="1" applyAlignment="1">
      <alignment horizontal="center" vertical="center"/>
    </xf>
    <xf numFmtId="0" fontId="2" fillId="5" borderId="53" xfId="0" applyFont="1" applyFill="1" applyBorder="1" applyAlignment="1">
      <alignment horizontal="center" vertical="center"/>
    </xf>
    <xf numFmtId="0" fontId="0" fillId="5" borderId="37" xfId="0" applyFill="1" applyBorder="1" applyAlignment="1">
      <alignment horizontal="center" vertical="center"/>
    </xf>
    <xf numFmtId="0" fontId="0" fillId="5" borderId="38" xfId="0" applyFill="1" applyBorder="1" applyAlignment="1">
      <alignment horizontal="center" vertical="center"/>
    </xf>
    <xf numFmtId="0" fontId="24" fillId="5" borderId="21" xfId="12" applyFont="1" applyFill="1" applyBorder="1" applyAlignment="1">
      <alignment horizontal="center" vertical="center"/>
    </xf>
    <xf numFmtId="0" fontId="24" fillId="5" borderId="44" xfId="12" applyFont="1" applyFill="1" applyBorder="1" applyAlignment="1">
      <alignment horizontal="center" vertical="center"/>
    </xf>
    <xf numFmtId="0" fontId="23" fillId="5" borderId="31" xfId="12" applyFont="1" applyFill="1" applyBorder="1" applyAlignment="1">
      <alignment horizontal="center" vertical="center"/>
    </xf>
    <xf numFmtId="0" fontId="23" fillId="5" borderId="8" xfId="12" applyFont="1" applyFill="1" applyBorder="1" applyAlignment="1">
      <alignment horizontal="center" vertical="center"/>
    </xf>
    <xf numFmtId="0" fontId="23" fillId="0" borderId="50" xfId="12" applyFont="1" applyBorder="1" applyAlignment="1">
      <alignment horizontal="center" vertical="top" wrapText="1"/>
    </xf>
    <xf numFmtId="0" fontId="23" fillId="0" borderId="51" xfId="12" applyFont="1" applyBorder="1" applyAlignment="1">
      <alignment horizontal="center" vertical="top" wrapText="1"/>
    </xf>
    <xf numFmtId="0" fontId="23" fillId="0" borderId="35" xfId="12" applyFont="1" applyBorder="1" applyAlignment="1">
      <alignment horizontal="center" vertical="top" wrapText="1"/>
    </xf>
    <xf numFmtId="0" fontId="23" fillId="0" borderId="27" xfId="12" applyFont="1" applyBorder="1" applyAlignment="1">
      <alignment horizontal="center" vertical="top" wrapText="1"/>
    </xf>
    <xf numFmtId="0" fontId="23" fillId="0" borderId="4" xfId="12" applyFont="1" applyBorder="1" applyAlignment="1">
      <alignment horizontal="center" vertical="top" wrapText="1"/>
    </xf>
    <xf numFmtId="0" fontId="23" fillId="0" borderId="25" xfId="12" applyFont="1" applyBorder="1" applyAlignment="1">
      <alignment horizontal="center" vertical="top" wrapText="1"/>
    </xf>
    <xf numFmtId="0" fontId="34" fillId="0" borderId="54" xfId="11" applyFont="1" applyBorder="1" applyAlignment="1">
      <alignment horizontal="center" vertical="center"/>
    </xf>
    <xf numFmtId="0" fontId="34" fillId="0" borderId="55" xfId="11" applyFont="1" applyBorder="1" applyAlignment="1">
      <alignment horizontal="center" vertical="center"/>
    </xf>
    <xf numFmtId="0" fontId="34" fillId="0" borderId="56" xfId="11" applyFont="1" applyBorder="1" applyAlignment="1">
      <alignment horizontal="center" vertical="center"/>
    </xf>
    <xf numFmtId="0" fontId="33" fillId="0" borderId="47" xfId="12" applyFont="1" applyBorder="1" applyAlignment="1">
      <alignment horizontal="center" vertical="top" wrapText="1"/>
    </xf>
    <xf numFmtId="0" fontId="33" fillId="0" borderId="48" xfId="12" applyFont="1" applyBorder="1" applyAlignment="1">
      <alignment horizontal="center" vertical="top" wrapText="1"/>
    </xf>
    <xf numFmtId="0" fontId="33" fillId="0" borderId="49" xfId="12" applyFont="1" applyBorder="1" applyAlignment="1">
      <alignment horizontal="center" vertical="top" wrapText="1"/>
    </xf>
    <xf numFmtId="0" fontId="23" fillId="2" borderId="27" xfId="12" applyFont="1" applyFill="1" applyBorder="1" applyAlignment="1">
      <alignment horizontal="center" vertical="top" wrapText="1"/>
    </xf>
    <xf numFmtId="0" fontId="23" fillId="2" borderId="4" xfId="12" applyFont="1" applyFill="1" applyBorder="1" applyAlignment="1">
      <alignment horizontal="center" vertical="top" wrapText="1"/>
    </xf>
    <xf numFmtId="0" fontId="23" fillId="2" borderId="25" xfId="12" applyFont="1" applyFill="1" applyBorder="1" applyAlignment="1">
      <alignment horizontal="center" vertical="top" wrapText="1"/>
    </xf>
    <xf numFmtId="0" fontId="24" fillId="7" borderId="43" xfId="0" applyFont="1" applyFill="1" applyBorder="1" applyAlignment="1">
      <alignment horizontal="center" vertical="center" wrapText="1"/>
    </xf>
    <xf numFmtId="0" fontId="24" fillId="7" borderId="11" xfId="0" applyFont="1" applyFill="1" applyBorder="1" applyAlignment="1">
      <alignment horizontal="center" vertical="center" wrapText="1"/>
    </xf>
    <xf numFmtId="0" fontId="34" fillId="5" borderId="50" xfId="11" applyFont="1" applyFill="1" applyBorder="1" applyAlignment="1">
      <alignment horizontal="center" vertical="center"/>
    </xf>
    <xf numFmtId="0" fontId="34" fillId="5" borderId="51" xfId="11" applyFont="1" applyFill="1" applyBorder="1" applyAlignment="1">
      <alignment horizontal="center" vertical="center"/>
    </xf>
    <xf numFmtId="0" fontId="34" fillId="5" borderId="53" xfId="11" applyFont="1" applyFill="1" applyBorder="1" applyAlignment="1">
      <alignment horizontal="center" vertical="center"/>
    </xf>
    <xf numFmtId="0" fontId="33" fillId="5" borderId="47" xfId="11" applyFont="1" applyFill="1" applyBorder="1" applyAlignment="1">
      <alignment horizontal="center" vertical="center"/>
    </xf>
    <xf numFmtId="0" fontId="33" fillId="5" borderId="48" xfId="11" applyFont="1" applyFill="1" applyBorder="1" applyAlignment="1">
      <alignment horizontal="center" vertical="center"/>
    </xf>
    <xf numFmtId="0" fontId="33" fillId="5" borderId="60" xfId="11" applyFont="1" applyFill="1" applyBorder="1" applyAlignment="1">
      <alignment horizontal="center" vertical="center"/>
    </xf>
  </cellXfs>
  <cellStyles count="14">
    <cellStyle name="Hiperlink" xfId="6" builtinId="8"/>
    <cellStyle name="Moeda" xfId="1" builtinId="4"/>
    <cellStyle name="Moeda 2" xfId="9" xr:uid="{00000000-0005-0000-0000-000002000000}"/>
    <cellStyle name="Normal" xfId="0" builtinId="0"/>
    <cellStyle name="Normal 10" xfId="13" xr:uid="{00000000-0005-0000-0000-000004000000}"/>
    <cellStyle name="Normal 2" xfId="5" xr:uid="{00000000-0005-0000-0000-000005000000}"/>
    <cellStyle name="Normal 3" xfId="8" xr:uid="{00000000-0005-0000-0000-000006000000}"/>
    <cellStyle name="Normal 4" xfId="3" xr:uid="{00000000-0005-0000-0000-000007000000}"/>
    <cellStyle name="Normal 5" xfId="4" xr:uid="{00000000-0005-0000-0000-000008000000}"/>
    <cellStyle name="Normal 6" xfId="11" xr:uid="{00000000-0005-0000-0000-000009000000}"/>
    <cellStyle name="Normal 6 2" xfId="12" xr:uid="{00000000-0005-0000-0000-00000A000000}"/>
    <cellStyle name="Porcentagem" xfId="2" builtinId="5"/>
    <cellStyle name="Vírgula" xfId="7" builtinId="3"/>
    <cellStyle name="Vírgula 2" xfId="10" xr:uid="{00000000-0005-0000-0000-00000D000000}"/>
  </cellStyles>
  <dxfs count="6">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left style="medium">
          <color indexed="64"/>
        </left>
        <right/>
        <top style="medium">
          <color indexed="64"/>
        </top>
        <bottom style="medium">
          <color indexed="64"/>
        </bottom>
        <vertical/>
        <horizontal/>
      </border>
    </dxf>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left/>
        <right style="medium">
          <color indexed="64"/>
        </right>
        <top style="medium">
          <color indexed="64"/>
        </top>
        <bottom style="medium">
          <color indexed="64"/>
        </bottom>
        <vertical/>
        <horizontal/>
      </border>
    </dxf>
    <dxf>
      <border outline="0">
        <top style="medium">
          <color indexed="64"/>
        </top>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outline="0">
        <left style="medium">
          <color indexed="64"/>
        </left>
        <right style="medium">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0</xdr:colOff>
      <xdr:row>1</xdr:row>
      <xdr:rowOff>340179</xdr:rowOff>
    </xdr:from>
    <xdr:ext cx="7620" cy="9970135"/>
    <xdr:sp macro="" textlink="">
      <xdr:nvSpPr>
        <xdr:cNvPr id="2" name="Shape 2">
          <a:extLst>
            <a:ext uri="{FF2B5EF4-FFF2-40B4-BE49-F238E27FC236}">
              <a16:creationId xmlns:a16="http://schemas.microsoft.com/office/drawing/2014/main" id="{00000000-0008-0000-0600-000002000000}"/>
            </a:ext>
          </a:extLst>
        </xdr:cNvPr>
        <xdr:cNvSpPr/>
      </xdr:nvSpPr>
      <xdr:spPr>
        <a:xfrm>
          <a:off x="0" y="530679"/>
          <a:ext cx="7620" cy="9970135"/>
        </a:xfrm>
        <a:custGeom>
          <a:avLst/>
          <a:gdLst/>
          <a:ahLst/>
          <a:cxnLst/>
          <a:rect l="0" t="0" r="0" b="0"/>
          <a:pathLst>
            <a:path w="7620" h="9970135">
              <a:moveTo>
                <a:pt x="7622" y="0"/>
              </a:moveTo>
              <a:lnTo>
                <a:pt x="0" y="0"/>
              </a:lnTo>
              <a:lnTo>
                <a:pt x="0" y="9969741"/>
              </a:lnTo>
              <a:lnTo>
                <a:pt x="7622" y="9969741"/>
              </a:lnTo>
              <a:lnTo>
                <a:pt x="7622" y="0"/>
              </a:lnTo>
              <a:close/>
            </a:path>
          </a:pathLst>
        </a:custGeom>
        <a:solidFill>
          <a:srgbClr val="7F7F7F"/>
        </a:solidFill>
      </xdr:spPr>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36</xdr:row>
      <xdr:rowOff>0</xdr:rowOff>
    </xdr:from>
    <xdr:ext cx="7620" cy="9970135"/>
    <xdr:sp macro="" textlink="">
      <xdr:nvSpPr>
        <xdr:cNvPr id="2" name="Shape 2">
          <a:extLst>
            <a:ext uri="{FF2B5EF4-FFF2-40B4-BE49-F238E27FC236}">
              <a16:creationId xmlns:a16="http://schemas.microsoft.com/office/drawing/2014/main" id="{00000000-0008-0000-0700-000002000000}"/>
            </a:ext>
          </a:extLst>
        </xdr:cNvPr>
        <xdr:cNvSpPr/>
      </xdr:nvSpPr>
      <xdr:spPr>
        <a:xfrm>
          <a:off x="0" y="530679"/>
          <a:ext cx="7620" cy="9970135"/>
        </a:xfrm>
        <a:custGeom>
          <a:avLst/>
          <a:gdLst/>
          <a:ahLst/>
          <a:cxnLst/>
          <a:rect l="0" t="0" r="0" b="0"/>
          <a:pathLst>
            <a:path w="7620" h="9970135">
              <a:moveTo>
                <a:pt x="7622" y="0"/>
              </a:moveTo>
              <a:lnTo>
                <a:pt x="0" y="0"/>
              </a:lnTo>
              <a:lnTo>
                <a:pt x="0" y="9969741"/>
              </a:lnTo>
              <a:lnTo>
                <a:pt x="7622" y="9969741"/>
              </a:lnTo>
              <a:lnTo>
                <a:pt x="7622" y="0"/>
              </a:lnTo>
              <a:close/>
            </a:path>
          </a:pathLst>
        </a:custGeom>
        <a:solidFill>
          <a:srgbClr val="7F7F7F"/>
        </a:solidFill>
      </xdr:spPr>
    </xdr:sp>
    <xdr:clientData/>
  </xdr:oneCellAnchor>
  <xdr:oneCellAnchor>
    <xdr:from>
      <xdr:col>3</xdr:col>
      <xdr:colOff>92745</xdr:colOff>
      <xdr:row>36</xdr:row>
      <xdr:rowOff>0</xdr:rowOff>
    </xdr:from>
    <xdr:ext cx="6350" cy="453390"/>
    <xdr:grpSp>
      <xdr:nvGrpSpPr>
        <xdr:cNvPr id="3" name="Group 93">
          <a:extLst>
            <a:ext uri="{FF2B5EF4-FFF2-40B4-BE49-F238E27FC236}">
              <a16:creationId xmlns:a16="http://schemas.microsoft.com/office/drawing/2014/main" id="{00000000-0008-0000-0700-000003000000}"/>
            </a:ext>
          </a:extLst>
        </xdr:cNvPr>
        <xdr:cNvGrpSpPr/>
      </xdr:nvGrpSpPr>
      <xdr:grpSpPr>
        <a:xfrm>
          <a:off x="8103270" y="11249025"/>
          <a:ext cx="6350" cy="453390"/>
          <a:chOff x="0" y="0"/>
          <a:chExt cx="6350" cy="453390"/>
        </a:xfrm>
      </xdr:grpSpPr>
      <xdr:sp macro="" textlink="">
        <xdr:nvSpPr>
          <xdr:cNvPr id="4" name="Shape 94">
            <a:extLst>
              <a:ext uri="{FF2B5EF4-FFF2-40B4-BE49-F238E27FC236}">
                <a16:creationId xmlns:a16="http://schemas.microsoft.com/office/drawing/2014/main" id="{00000000-0008-0000-0700-000004000000}"/>
              </a:ext>
            </a:extLst>
          </xdr:cNvPr>
          <xdr:cNvSpPr/>
        </xdr:nvSpPr>
        <xdr:spPr>
          <a:xfrm>
            <a:off x="0" y="0"/>
            <a:ext cx="6350" cy="453390"/>
          </a:xfrm>
          <a:custGeom>
            <a:avLst/>
            <a:gdLst/>
            <a:ahLst/>
            <a:cxnLst/>
            <a:rect l="0" t="0" r="0" b="0"/>
            <a:pathLst>
              <a:path w="6350" h="453390">
                <a:moveTo>
                  <a:pt x="6038" y="452879"/>
                </a:moveTo>
                <a:lnTo>
                  <a:pt x="0" y="452879"/>
                </a:lnTo>
                <a:lnTo>
                  <a:pt x="0" y="0"/>
                </a:lnTo>
                <a:lnTo>
                  <a:pt x="6038" y="0"/>
                </a:lnTo>
                <a:lnTo>
                  <a:pt x="6038" y="452879"/>
                </a:lnTo>
                <a:close/>
              </a:path>
            </a:pathLst>
          </a:custGeom>
          <a:solidFill>
            <a:srgbClr val="7F7F7F">
              <a:alpha val="50000"/>
            </a:srgbClr>
          </a:solidFill>
        </xdr:spPr>
      </xdr:sp>
      <xdr:sp macro="" textlink="">
        <xdr:nvSpPr>
          <xdr:cNvPr id="5" name="Shape 95">
            <a:extLst>
              <a:ext uri="{FF2B5EF4-FFF2-40B4-BE49-F238E27FC236}">
                <a16:creationId xmlns:a16="http://schemas.microsoft.com/office/drawing/2014/main" id="{00000000-0008-0000-0700-000005000000}"/>
              </a:ext>
            </a:extLst>
          </xdr:cNvPr>
          <xdr:cNvSpPr/>
        </xdr:nvSpPr>
        <xdr:spPr>
          <a:xfrm>
            <a:off x="6038" y="0"/>
            <a:ext cx="0" cy="453390"/>
          </a:xfrm>
          <a:custGeom>
            <a:avLst/>
            <a:gdLst/>
            <a:ahLst/>
            <a:cxnLst/>
            <a:rect l="0" t="0" r="0" b="0"/>
            <a:pathLst>
              <a:path h="453390">
                <a:moveTo>
                  <a:pt x="0" y="452879"/>
                </a:moveTo>
                <a:lnTo>
                  <a:pt x="0" y="0"/>
                </a:lnTo>
                <a:lnTo>
                  <a:pt x="0" y="452879"/>
                </a:lnTo>
                <a:close/>
              </a:path>
            </a:pathLst>
          </a:custGeom>
          <a:solidFill>
            <a:srgbClr val="2B2B2B">
              <a:alpha val="50000"/>
            </a:srgbClr>
          </a:solidFill>
        </xdr:spPr>
      </xdr:sp>
      <xdr:sp macro="" textlink="">
        <xdr:nvSpPr>
          <xdr:cNvPr id="6" name="Shape 96">
            <a:extLst>
              <a:ext uri="{FF2B5EF4-FFF2-40B4-BE49-F238E27FC236}">
                <a16:creationId xmlns:a16="http://schemas.microsoft.com/office/drawing/2014/main" id="{00000000-0008-0000-0700-000006000000}"/>
              </a:ext>
            </a:extLst>
          </xdr:cNvPr>
          <xdr:cNvSpPr/>
        </xdr:nvSpPr>
        <xdr:spPr>
          <a:xfrm>
            <a:off x="0" y="0"/>
            <a:ext cx="6350" cy="453390"/>
          </a:xfrm>
          <a:custGeom>
            <a:avLst/>
            <a:gdLst/>
            <a:ahLst/>
            <a:cxnLst/>
            <a:rect l="0" t="0" r="0" b="0"/>
            <a:pathLst>
              <a:path w="6350" h="453390">
                <a:moveTo>
                  <a:pt x="6038" y="452879"/>
                </a:moveTo>
                <a:lnTo>
                  <a:pt x="0" y="452879"/>
                </a:lnTo>
                <a:lnTo>
                  <a:pt x="0" y="0"/>
                </a:lnTo>
                <a:lnTo>
                  <a:pt x="6038" y="0"/>
                </a:lnTo>
                <a:lnTo>
                  <a:pt x="6038" y="452879"/>
                </a:lnTo>
                <a:close/>
              </a:path>
            </a:pathLst>
          </a:custGeom>
          <a:solidFill>
            <a:srgbClr val="7F7F7F">
              <a:alpha val="50000"/>
            </a:srgbClr>
          </a:solidFill>
        </xdr:spPr>
      </xdr:sp>
      <xdr:sp macro="" textlink="">
        <xdr:nvSpPr>
          <xdr:cNvPr id="7" name="Shape 97">
            <a:extLst>
              <a:ext uri="{FF2B5EF4-FFF2-40B4-BE49-F238E27FC236}">
                <a16:creationId xmlns:a16="http://schemas.microsoft.com/office/drawing/2014/main" id="{00000000-0008-0000-0700-000007000000}"/>
              </a:ext>
            </a:extLst>
          </xdr:cNvPr>
          <xdr:cNvSpPr/>
        </xdr:nvSpPr>
        <xdr:spPr>
          <a:xfrm>
            <a:off x="6038" y="0"/>
            <a:ext cx="0" cy="453390"/>
          </a:xfrm>
          <a:custGeom>
            <a:avLst/>
            <a:gdLst/>
            <a:ahLst/>
            <a:cxnLst/>
            <a:rect l="0" t="0" r="0" b="0"/>
            <a:pathLst>
              <a:path h="453390">
                <a:moveTo>
                  <a:pt x="0" y="452879"/>
                </a:moveTo>
                <a:lnTo>
                  <a:pt x="0" y="0"/>
                </a:lnTo>
                <a:lnTo>
                  <a:pt x="0" y="452879"/>
                </a:lnTo>
                <a:close/>
              </a:path>
            </a:pathLst>
          </a:custGeom>
          <a:solidFill>
            <a:srgbClr val="2B2B2B">
              <a:alpha val="50000"/>
            </a:srgbClr>
          </a:solidFill>
        </xdr:spPr>
      </xdr:sp>
    </xdr:grpSp>
    <xdr:clientData/>
  </xdr:oneCellAnchor>
  <xdr:oneCellAnchor>
    <xdr:from>
      <xdr:col>3</xdr:col>
      <xdr:colOff>92745</xdr:colOff>
      <xdr:row>32</xdr:row>
      <xdr:rowOff>190209</xdr:rowOff>
    </xdr:from>
    <xdr:ext cx="6350" cy="453390"/>
    <xdr:grpSp>
      <xdr:nvGrpSpPr>
        <xdr:cNvPr id="8" name="Group 93">
          <a:extLst>
            <a:ext uri="{FF2B5EF4-FFF2-40B4-BE49-F238E27FC236}">
              <a16:creationId xmlns:a16="http://schemas.microsoft.com/office/drawing/2014/main" id="{00000000-0008-0000-0700-000008000000}"/>
            </a:ext>
          </a:extLst>
        </xdr:cNvPr>
        <xdr:cNvGrpSpPr/>
      </xdr:nvGrpSpPr>
      <xdr:grpSpPr>
        <a:xfrm>
          <a:off x="8103270" y="10477209"/>
          <a:ext cx="6350" cy="453390"/>
          <a:chOff x="0" y="0"/>
          <a:chExt cx="6350" cy="453390"/>
        </a:xfrm>
      </xdr:grpSpPr>
      <xdr:sp macro="" textlink="">
        <xdr:nvSpPr>
          <xdr:cNvPr id="9" name="Shape 94">
            <a:extLst>
              <a:ext uri="{FF2B5EF4-FFF2-40B4-BE49-F238E27FC236}">
                <a16:creationId xmlns:a16="http://schemas.microsoft.com/office/drawing/2014/main" id="{00000000-0008-0000-0700-000009000000}"/>
              </a:ext>
            </a:extLst>
          </xdr:cNvPr>
          <xdr:cNvSpPr/>
        </xdr:nvSpPr>
        <xdr:spPr>
          <a:xfrm>
            <a:off x="0" y="0"/>
            <a:ext cx="6350" cy="453390"/>
          </a:xfrm>
          <a:custGeom>
            <a:avLst/>
            <a:gdLst/>
            <a:ahLst/>
            <a:cxnLst/>
            <a:rect l="0" t="0" r="0" b="0"/>
            <a:pathLst>
              <a:path w="6350" h="453390">
                <a:moveTo>
                  <a:pt x="6038" y="452879"/>
                </a:moveTo>
                <a:lnTo>
                  <a:pt x="0" y="452879"/>
                </a:lnTo>
                <a:lnTo>
                  <a:pt x="0" y="0"/>
                </a:lnTo>
                <a:lnTo>
                  <a:pt x="6038" y="0"/>
                </a:lnTo>
                <a:lnTo>
                  <a:pt x="6038" y="452879"/>
                </a:lnTo>
                <a:close/>
              </a:path>
            </a:pathLst>
          </a:custGeom>
          <a:solidFill>
            <a:srgbClr val="7F7F7F">
              <a:alpha val="50000"/>
            </a:srgbClr>
          </a:solidFill>
        </xdr:spPr>
      </xdr:sp>
      <xdr:sp macro="" textlink="">
        <xdr:nvSpPr>
          <xdr:cNvPr id="10" name="Shape 95">
            <a:extLst>
              <a:ext uri="{FF2B5EF4-FFF2-40B4-BE49-F238E27FC236}">
                <a16:creationId xmlns:a16="http://schemas.microsoft.com/office/drawing/2014/main" id="{00000000-0008-0000-0700-00000A000000}"/>
              </a:ext>
            </a:extLst>
          </xdr:cNvPr>
          <xdr:cNvSpPr/>
        </xdr:nvSpPr>
        <xdr:spPr>
          <a:xfrm>
            <a:off x="6038" y="0"/>
            <a:ext cx="0" cy="453390"/>
          </a:xfrm>
          <a:custGeom>
            <a:avLst/>
            <a:gdLst/>
            <a:ahLst/>
            <a:cxnLst/>
            <a:rect l="0" t="0" r="0" b="0"/>
            <a:pathLst>
              <a:path h="453390">
                <a:moveTo>
                  <a:pt x="0" y="452879"/>
                </a:moveTo>
                <a:lnTo>
                  <a:pt x="0" y="0"/>
                </a:lnTo>
                <a:lnTo>
                  <a:pt x="0" y="452879"/>
                </a:lnTo>
                <a:close/>
              </a:path>
            </a:pathLst>
          </a:custGeom>
          <a:solidFill>
            <a:srgbClr val="2B2B2B">
              <a:alpha val="50000"/>
            </a:srgbClr>
          </a:solidFill>
        </xdr:spPr>
      </xdr:sp>
      <xdr:sp macro="" textlink="">
        <xdr:nvSpPr>
          <xdr:cNvPr id="11" name="Shape 96">
            <a:extLst>
              <a:ext uri="{FF2B5EF4-FFF2-40B4-BE49-F238E27FC236}">
                <a16:creationId xmlns:a16="http://schemas.microsoft.com/office/drawing/2014/main" id="{00000000-0008-0000-0700-00000B000000}"/>
              </a:ext>
            </a:extLst>
          </xdr:cNvPr>
          <xdr:cNvSpPr/>
        </xdr:nvSpPr>
        <xdr:spPr>
          <a:xfrm>
            <a:off x="0" y="0"/>
            <a:ext cx="6350" cy="453390"/>
          </a:xfrm>
          <a:custGeom>
            <a:avLst/>
            <a:gdLst/>
            <a:ahLst/>
            <a:cxnLst/>
            <a:rect l="0" t="0" r="0" b="0"/>
            <a:pathLst>
              <a:path w="6350" h="453390">
                <a:moveTo>
                  <a:pt x="6038" y="452879"/>
                </a:moveTo>
                <a:lnTo>
                  <a:pt x="0" y="452879"/>
                </a:lnTo>
                <a:lnTo>
                  <a:pt x="0" y="0"/>
                </a:lnTo>
                <a:lnTo>
                  <a:pt x="6038" y="0"/>
                </a:lnTo>
                <a:lnTo>
                  <a:pt x="6038" y="452879"/>
                </a:lnTo>
                <a:close/>
              </a:path>
            </a:pathLst>
          </a:custGeom>
          <a:solidFill>
            <a:srgbClr val="7F7F7F">
              <a:alpha val="50000"/>
            </a:srgbClr>
          </a:solidFill>
        </xdr:spPr>
      </xdr:sp>
      <xdr:sp macro="" textlink="">
        <xdr:nvSpPr>
          <xdr:cNvPr id="12" name="Shape 97">
            <a:extLst>
              <a:ext uri="{FF2B5EF4-FFF2-40B4-BE49-F238E27FC236}">
                <a16:creationId xmlns:a16="http://schemas.microsoft.com/office/drawing/2014/main" id="{00000000-0008-0000-0700-00000C000000}"/>
              </a:ext>
            </a:extLst>
          </xdr:cNvPr>
          <xdr:cNvSpPr/>
        </xdr:nvSpPr>
        <xdr:spPr>
          <a:xfrm>
            <a:off x="6038" y="0"/>
            <a:ext cx="0" cy="453390"/>
          </a:xfrm>
          <a:custGeom>
            <a:avLst/>
            <a:gdLst/>
            <a:ahLst/>
            <a:cxnLst/>
            <a:rect l="0" t="0" r="0" b="0"/>
            <a:pathLst>
              <a:path h="453390">
                <a:moveTo>
                  <a:pt x="0" y="452879"/>
                </a:moveTo>
                <a:lnTo>
                  <a:pt x="0" y="0"/>
                </a:lnTo>
                <a:lnTo>
                  <a:pt x="0" y="452879"/>
                </a:lnTo>
                <a:close/>
              </a:path>
            </a:pathLst>
          </a:custGeom>
          <a:solidFill>
            <a:srgbClr val="2B2B2B">
              <a:alpha val="50000"/>
            </a:srgbClr>
          </a:solidFill>
        </xdr:spPr>
      </xdr:sp>
    </xdr:grp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a2" displayName="Tabela2" ref="A3:B22" totalsRowShown="0" headerRowDxfId="5" headerRowBorderDxfId="4" tableBorderDxfId="3" totalsRowBorderDxfId="2">
  <autoFilter ref="A3:B22" xr:uid="{00000000-0009-0000-0100-000001000000}"/>
  <tableColumns count="2">
    <tableColumn id="1" xr3:uid="{00000000-0010-0000-0000-000001000000}" name="Colunas1" dataDxfId="1"/>
    <tableColumn id="2" xr3:uid="{00000000-0010-0000-0000-000002000000}" name="Colunas2" dataDxfId="0"/>
  </tableColumns>
  <tableStyleInfo name="TableStyleLight5" showFirstColumn="0" showLastColumn="0" showRowStripes="1" showColumnStripes="0"/>
</table>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hyperlink" Target="../../../../../../../../../../../../../../../../../../AppData/Local/Temp/17%20Instrucao%20Normativa%2002_2008%20Servicos%20Continuados/0%20LEGISLACAO%20GERAL/IN%2003_2005%20MSP_SRP/AnexoII_IN03.rt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0"/>
  <sheetViews>
    <sheetView topLeftCell="B1" zoomScale="145" zoomScaleNormal="145" workbookViewId="0">
      <selection activeCell="E8" sqref="E8"/>
    </sheetView>
  </sheetViews>
  <sheetFormatPr defaultRowHeight="15" x14ac:dyDescent="0.25"/>
  <cols>
    <col min="1" max="1" width="33.85546875" customWidth="1"/>
    <col min="2" max="2" width="15.42578125" customWidth="1"/>
    <col min="3" max="3" width="19.28515625" customWidth="1"/>
    <col min="5" max="5" width="59" customWidth="1"/>
  </cols>
  <sheetData>
    <row r="1" spans="1:5" ht="22.5" x14ac:dyDescent="0.25">
      <c r="E1" s="1" t="s">
        <v>49</v>
      </c>
    </row>
    <row r="2" spans="1:5" ht="21" x14ac:dyDescent="0.35">
      <c r="A2" s="258" t="s">
        <v>50</v>
      </c>
      <c r="B2" s="258"/>
      <c r="C2" s="258"/>
      <c r="E2" s="2" t="s">
        <v>51</v>
      </c>
    </row>
    <row r="3" spans="1:5" ht="174" customHeight="1" x14ac:dyDescent="0.3">
      <c r="A3" s="257" t="s">
        <v>52</v>
      </c>
      <c r="B3" s="257"/>
      <c r="C3" s="257"/>
      <c r="E3" s="4" t="s">
        <v>53</v>
      </c>
    </row>
    <row r="4" spans="1:5" ht="18.75" customHeight="1" thickBot="1" x14ac:dyDescent="0.35">
      <c r="A4" s="5"/>
      <c r="E4" s="6"/>
    </row>
    <row r="5" spans="1:5" ht="15.75" customHeight="1" thickBot="1" x14ac:dyDescent="0.3">
      <c r="A5" s="259" t="s">
        <v>54</v>
      </c>
      <c r="B5" s="260"/>
      <c r="C5" s="261"/>
      <c r="E5" s="7" t="s">
        <v>55</v>
      </c>
    </row>
    <row r="6" spans="1:5" ht="22.5" x14ac:dyDescent="0.25">
      <c r="A6" s="262" t="s">
        <v>56</v>
      </c>
      <c r="B6" s="262" t="s">
        <v>57</v>
      </c>
      <c r="C6" s="8" t="s">
        <v>58</v>
      </c>
      <c r="E6" s="7" t="s">
        <v>59</v>
      </c>
    </row>
    <row r="7" spans="1:5" ht="15.75" customHeight="1" thickBot="1" x14ac:dyDescent="0.3">
      <c r="A7" s="263"/>
      <c r="B7" s="263"/>
      <c r="C7" s="9" t="s">
        <v>60</v>
      </c>
      <c r="E7" s="7" t="s">
        <v>61</v>
      </c>
    </row>
    <row r="8" spans="1:5" ht="15.75" thickBot="1" x14ac:dyDescent="0.3">
      <c r="A8" s="10" t="s">
        <v>62</v>
      </c>
      <c r="B8" s="8">
        <v>30</v>
      </c>
      <c r="C8" s="8">
        <v>7</v>
      </c>
      <c r="D8">
        <f>(7/30)/12</f>
        <v>1.94444444444444E-2</v>
      </c>
      <c r="E8" s="11" t="s">
        <v>63</v>
      </c>
    </row>
    <row r="9" spans="1:5" ht="13.5" customHeight="1" x14ac:dyDescent="0.25">
      <c r="A9" s="12" t="s">
        <v>64</v>
      </c>
      <c r="B9" s="13">
        <v>33</v>
      </c>
      <c r="C9" s="13">
        <v>8</v>
      </c>
      <c r="D9">
        <f>(3/30)/12</f>
        <v>8.3333333333333297E-3</v>
      </c>
    </row>
    <row r="10" spans="1:5" ht="13.5" customHeight="1" x14ac:dyDescent="0.25">
      <c r="A10" s="12" t="s">
        <v>65</v>
      </c>
      <c r="B10" s="13">
        <v>36</v>
      </c>
      <c r="C10" s="13">
        <v>8</v>
      </c>
      <c r="D10">
        <f t="shared" ref="D10:D13" si="0">(3/30)/12</f>
        <v>8.3333333333333297E-3</v>
      </c>
    </row>
    <row r="11" spans="1:5" ht="13.5" customHeight="1" x14ac:dyDescent="0.25">
      <c r="A11" s="12" t="s">
        <v>66</v>
      </c>
      <c r="B11" s="13">
        <v>39</v>
      </c>
      <c r="C11" s="13">
        <v>9</v>
      </c>
      <c r="D11">
        <f t="shared" si="0"/>
        <v>8.3333333333333297E-3</v>
      </c>
    </row>
    <row r="12" spans="1:5" ht="13.5" customHeight="1" x14ac:dyDescent="0.25">
      <c r="A12" s="14" t="s">
        <v>67</v>
      </c>
      <c r="B12" s="15">
        <v>42</v>
      </c>
      <c r="C12" s="15">
        <v>10</v>
      </c>
      <c r="D12">
        <f t="shared" si="0"/>
        <v>8.3333333333333297E-3</v>
      </c>
    </row>
    <row r="13" spans="1:5" ht="13.5" customHeight="1" x14ac:dyDescent="0.25">
      <c r="A13" s="12" t="s">
        <v>68</v>
      </c>
      <c r="B13" s="13">
        <v>45</v>
      </c>
      <c r="C13" s="13">
        <v>11</v>
      </c>
      <c r="D13">
        <f t="shared" si="0"/>
        <v>8.3333333333333297E-3</v>
      </c>
      <c r="E13" t="s">
        <v>90</v>
      </c>
    </row>
    <row r="14" spans="1:5" x14ac:dyDescent="0.25">
      <c r="A14" s="12" t="s">
        <v>69</v>
      </c>
      <c r="B14" s="13">
        <v>48</v>
      </c>
      <c r="C14" s="13">
        <v>11</v>
      </c>
      <c r="E14" t="s">
        <v>48</v>
      </c>
    </row>
    <row r="15" spans="1:5" x14ac:dyDescent="0.25">
      <c r="A15" s="12" t="s">
        <v>70</v>
      </c>
      <c r="B15" s="13">
        <v>51</v>
      </c>
      <c r="C15" s="13">
        <v>12</v>
      </c>
    </row>
    <row r="16" spans="1:5" x14ac:dyDescent="0.25">
      <c r="A16" s="12" t="s">
        <v>71</v>
      </c>
      <c r="B16" s="13">
        <v>54</v>
      </c>
      <c r="C16" s="13">
        <v>13</v>
      </c>
    </row>
    <row r="17" spans="1:5" x14ac:dyDescent="0.25">
      <c r="A17" s="12" t="s">
        <v>72</v>
      </c>
      <c r="B17" s="13">
        <v>57</v>
      </c>
      <c r="C17" s="13">
        <v>13</v>
      </c>
    </row>
    <row r="18" spans="1:5" x14ac:dyDescent="0.25">
      <c r="A18" s="12" t="s">
        <v>73</v>
      </c>
      <c r="B18" s="13">
        <v>60</v>
      </c>
      <c r="C18" s="13">
        <v>14</v>
      </c>
    </row>
    <row r="19" spans="1:5" x14ac:dyDescent="0.25">
      <c r="A19" s="12" t="s">
        <v>74</v>
      </c>
      <c r="B19" s="13">
        <v>63</v>
      </c>
      <c r="C19" s="13">
        <v>15</v>
      </c>
    </row>
    <row r="20" spans="1:5" x14ac:dyDescent="0.25">
      <c r="A20" s="12" t="s">
        <v>75</v>
      </c>
      <c r="B20" s="13">
        <v>66</v>
      </c>
      <c r="C20" s="13">
        <v>15</v>
      </c>
    </row>
    <row r="21" spans="1:5" x14ac:dyDescent="0.25">
      <c r="A21" s="12" t="s">
        <v>76</v>
      </c>
      <c r="B21" s="13">
        <v>69</v>
      </c>
      <c r="C21" s="13">
        <v>16</v>
      </c>
    </row>
    <row r="22" spans="1:5" x14ac:dyDescent="0.25">
      <c r="A22" s="12" t="s">
        <v>77</v>
      </c>
      <c r="B22" s="13">
        <v>72</v>
      </c>
      <c r="C22" s="13">
        <v>17</v>
      </c>
    </row>
    <row r="23" spans="1:5" x14ac:dyDescent="0.25">
      <c r="A23" s="12" t="s">
        <v>78</v>
      </c>
      <c r="B23" s="13">
        <v>75</v>
      </c>
      <c r="C23" s="13">
        <v>18</v>
      </c>
    </row>
    <row r="24" spans="1:5" x14ac:dyDescent="0.25">
      <c r="A24" s="12" t="s">
        <v>79</v>
      </c>
      <c r="B24" s="13">
        <v>78</v>
      </c>
      <c r="C24" s="13">
        <v>18</v>
      </c>
    </row>
    <row r="25" spans="1:5" x14ac:dyDescent="0.25">
      <c r="A25" s="12" t="s">
        <v>80</v>
      </c>
      <c r="B25" s="13">
        <v>81</v>
      </c>
      <c r="C25" s="13">
        <v>19</v>
      </c>
    </row>
    <row r="26" spans="1:5" x14ac:dyDescent="0.25">
      <c r="A26" s="12" t="s">
        <v>81</v>
      </c>
      <c r="B26" s="13">
        <v>84</v>
      </c>
      <c r="C26" s="13">
        <v>20</v>
      </c>
    </row>
    <row r="27" spans="1:5" x14ac:dyDescent="0.25">
      <c r="A27" s="12" t="s">
        <v>82</v>
      </c>
      <c r="B27" s="13">
        <v>87</v>
      </c>
      <c r="C27" s="13">
        <v>20</v>
      </c>
    </row>
    <row r="28" spans="1:5" ht="15.75" thickBot="1" x14ac:dyDescent="0.3">
      <c r="A28" s="16" t="s">
        <v>83</v>
      </c>
      <c r="B28" s="9">
        <v>90</v>
      </c>
      <c r="C28" s="9">
        <v>21</v>
      </c>
      <c r="E28" s="17" t="s">
        <v>84</v>
      </c>
    </row>
    <row r="29" spans="1:5" ht="18.75" x14ac:dyDescent="0.3">
      <c r="A29" s="5"/>
    </row>
    <row r="30" spans="1:5" ht="145.5" customHeight="1" x14ac:dyDescent="0.3">
      <c r="A30" s="264" t="s">
        <v>85</v>
      </c>
      <c r="B30" s="264"/>
      <c r="C30" s="264"/>
    </row>
    <row r="31" spans="1:5" ht="18.75" x14ac:dyDescent="0.3">
      <c r="A31" s="5"/>
    </row>
    <row r="32" spans="1:5" ht="18.75" x14ac:dyDescent="0.3">
      <c r="A32" s="18" t="s">
        <v>86</v>
      </c>
    </row>
    <row r="33" spans="1:3" ht="18.75" x14ac:dyDescent="0.3">
      <c r="A33" s="5"/>
    </row>
    <row r="34" spans="1:3" x14ac:dyDescent="0.25">
      <c r="A34" s="257" t="s">
        <v>87</v>
      </c>
      <c r="B34" s="257"/>
      <c r="C34" s="257"/>
    </row>
    <row r="35" spans="1:3" x14ac:dyDescent="0.25">
      <c r="A35" s="257"/>
      <c r="B35" s="257"/>
      <c r="C35" s="257"/>
    </row>
    <row r="36" spans="1:3" x14ac:dyDescent="0.25">
      <c r="A36" s="257" t="s">
        <v>88</v>
      </c>
      <c r="B36" s="257"/>
      <c r="C36" s="257"/>
    </row>
    <row r="37" spans="1:3" x14ac:dyDescent="0.25">
      <c r="A37" s="257"/>
      <c r="B37" s="257"/>
      <c r="C37" s="257"/>
    </row>
    <row r="40" spans="1:3" x14ac:dyDescent="0.25">
      <c r="A40" s="19" t="s">
        <v>89</v>
      </c>
    </row>
  </sheetData>
  <mergeCells count="8">
    <mergeCell ref="A34:C35"/>
    <mergeCell ref="A36:C37"/>
    <mergeCell ref="A2:C2"/>
    <mergeCell ref="A3:C3"/>
    <mergeCell ref="A5:C5"/>
    <mergeCell ref="A6:A7"/>
    <mergeCell ref="B6:B7"/>
    <mergeCell ref="A30:C30"/>
  </mergeCells>
  <hyperlinks>
    <hyperlink ref="E28" location="'ADAPTAÇÃO A IN 06_13'!B77" display="VOLTAR PLANILHA PRINCIPAL" xr:uid="{00000000-0004-0000-0000-000000000000}"/>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topLeftCell="A7" workbookViewId="0">
      <selection activeCell="E8" sqref="E8"/>
    </sheetView>
  </sheetViews>
  <sheetFormatPr defaultColWidth="42.85546875" defaultRowHeight="18.75" x14ac:dyDescent="0.3"/>
  <cols>
    <col min="1" max="1" width="42.85546875" style="3"/>
    <col min="2" max="2" width="72.5703125" style="3" customWidth="1"/>
    <col min="3" max="16384" width="42.85546875" style="20"/>
  </cols>
  <sheetData>
    <row r="1" spans="1:2" ht="19.5" thickBot="1" x14ac:dyDescent="0.35">
      <c r="A1" s="265" t="s">
        <v>91</v>
      </c>
      <c r="B1" s="265"/>
    </row>
    <row r="2" spans="1:2" ht="19.5" thickBot="1" x14ac:dyDescent="0.35">
      <c r="A2" s="21" t="s">
        <v>92</v>
      </c>
      <c r="B2" s="21" t="s">
        <v>93</v>
      </c>
    </row>
    <row r="3" spans="1:2" ht="19.5" thickBot="1" x14ac:dyDescent="0.35">
      <c r="A3" s="22" t="s">
        <v>94</v>
      </c>
      <c r="B3" s="23" t="s">
        <v>95</v>
      </c>
    </row>
    <row r="4" spans="1:2" ht="57" thickBot="1" x14ac:dyDescent="0.35">
      <c r="A4" s="24" t="s">
        <v>96</v>
      </c>
      <c r="B4" s="25" t="s">
        <v>97</v>
      </c>
    </row>
    <row r="5" spans="1:2" ht="19.5" thickBot="1" x14ac:dyDescent="0.35">
      <c r="A5" s="24" t="s">
        <v>98</v>
      </c>
      <c r="B5" s="25" t="s">
        <v>99</v>
      </c>
    </row>
    <row r="6" spans="1:2" ht="94.5" thickBot="1" x14ac:dyDescent="0.35">
      <c r="A6" s="24" t="s">
        <v>100</v>
      </c>
      <c r="B6" s="25" t="s">
        <v>101</v>
      </c>
    </row>
    <row r="7" spans="1:2" ht="38.25" thickBot="1" x14ac:dyDescent="0.35">
      <c r="A7" s="24" t="s">
        <v>102</v>
      </c>
      <c r="B7" s="25" t="s">
        <v>103</v>
      </c>
    </row>
    <row r="8" spans="1:2" ht="19.5" thickBot="1" x14ac:dyDescent="0.35">
      <c r="A8" s="24" t="s">
        <v>104</v>
      </c>
      <c r="B8" s="25" t="s">
        <v>105</v>
      </c>
    </row>
    <row r="9" spans="1:2" ht="38.25" thickBot="1" x14ac:dyDescent="0.35">
      <c r="A9" s="24" t="s">
        <v>106</v>
      </c>
      <c r="B9" s="25" t="s">
        <v>107</v>
      </c>
    </row>
    <row r="10" spans="1:2" ht="57" thickBot="1" x14ac:dyDescent="0.35">
      <c r="A10" s="24" t="s">
        <v>108</v>
      </c>
      <c r="B10" s="25" t="s">
        <v>109</v>
      </c>
    </row>
    <row r="11" spans="1:2" ht="75.75" thickBot="1" x14ac:dyDescent="0.35">
      <c r="A11" s="24" t="s">
        <v>110</v>
      </c>
      <c r="B11" s="25" t="s">
        <v>111</v>
      </c>
    </row>
    <row r="12" spans="1:2" ht="57" thickBot="1" x14ac:dyDescent="0.35">
      <c r="A12" s="24" t="s">
        <v>108</v>
      </c>
      <c r="B12" s="25" t="s">
        <v>112</v>
      </c>
    </row>
    <row r="13" spans="1:2" ht="38.25" thickBot="1" x14ac:dyDescent="0.35">
      <c r="A13" s="24" t="s">
        <v>108</v>
      </c>
      <c r="B13" s="25" t="s">
        <v>113</v>
      </c>
    </row>
    <row r="14" spans="1:2" ht="57" thickBot="1" x14ac:dyDescent="0.35">
      <c r="A14" s="24" t="s">
        <v>108</v>
      </c>
      <c r="B14" s="25" t="s">
        <v>114</v>
      </c>
    </row>
    <row r="15" spans="1:2" ht="19.5" thickBot="1" x14ac:dyDescent="0.35">
      <c r="A15" s="24" t="s">
        <v>108</v>
      </c>
      <c r="B15" s="25" t="s">
        <v>115</v>
      </c>
    </row>
    <row r="16" spans="1:2" ht="38.25" thickBot="1" x14ac:dyDescent="0.35">
      <c r="A16" s="24" t="s">
        <v>116</v>
      </c>
      <c r="B16" s="25" t="s">
        <v>117</v>
      </c>
    </row>
    <row r="17" spans="1:2" ht="38.25" thickBot="1" x14ac:dyDescent="0.35">
      <c r="A17" s="24" t="s">
        <v>118</v>
      </c>
      <c r="B17" s="25" t="s">
        <v>119</v>
      </c>
    </row>
    <row r="18" spans="1:2" ht="38.25" thickBot="1" x14ac:dyDescent="0.35">
      <c r="A18" s="24" t="s">
        <v>108</v>
      </c>
      <c r="B18" s="25" t="s">
        <v>120</v>
      </c>
    </row>
    <row r="19" spans="1:2" ht="57" thickBot="1" x14ac:dyDescent="0.35">
      <c r="A19" s="24" t="s">
        <v>108</v>
      </c>
      <c r="B19" s="25" t="s">
        <v>121</v>
      </c>
    </row>
    <row r="20" spans="1:2" ht="38.25" thickBot="1" x14ac:dyDescent="0.35">
      <c r="A20" s="24" t="s">
        <v>108</v>
      </c>
      <c r="B20" s="25" t="s">
        <v>122</v>
      </c>
    </row>
    <row r="21" spans="1:2" ht="57" thickBot="1" x14ac:dyDescent="0.35">
      <c r="A21" s="24" t="s">
        <v>108</v>
      </c>
      <c r="B21" s="25" t="s">
        <v>123</v>
      </c>
    </row>
    <row r="22" spans="1:2" x14ac:dyDescent="0.3">
      <c r="A22" s="26" t="s">
        <v>108</v>
      </c>
      <c r="B22" s="27" t="s">
        <v>124</v>
      </c>
    </row>
  </sheetData>
  <mergeCells count="1">
    <mergeCell ref="A1:B1"/>
  </mergeCells>
  <pageMargins left="0.511811024" right="0.511811024" top="0.78740157499999996" bottom="0.78740157499999996" header="0.31496062000000002" footer="0.31496062000000002"/>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27"/>
  <sheetViews>
    <sheetView view="pageBreakPreview" zoomScaleSheetLayoutView="100" workbookViewId="0">
      <selection activeCell="B36" sqref="B36"/>
    </sheetView>
  </sheetViews>
  <sheetFormatPr defaultRowHeight="12.75" x14ac:dyDescent="0.25"/>
  <cols>
    <col min="1" max="1" width="10.7109375" style="28" customWidth="1"/>
    <col min="2" max="2" width="50.7109375" style="29" customWidth="1"/>
    <col min="3" max="3" width="15.7109375" style="29" customWidth="1"/>
    <col min="4" max="5" width="15.7109375" style="28" customWidth="1"/>
    <col min="6" max="8" width="15.7109375" style="30" customWidth="1"/>
    <col min="9" max="16384" width="9.140625" style="28"/>
  </cols>
  <sheetData>
    <row r="1" spans="1:8" ht="15" customHeight="1" thickBot="1" x14ac:dyDescent="0.3">
      <c r="A1" s="268" t="s">
        <v>255</v>
      </c>
      <c r="B1" s="269"/>
      <c r="C1" s="269"/>
      <c r="D1" s="269"/>
      <c r="E1" s="269"/>
      <c r="F1" s="269"/>
      <c r="G1" s="269"/>
      <c r="H1" s="270"/>
    </row>
    <row r="2" spans="1:8" ht="15" customHeight="1" thickBot="1" x14ac:dyDescent="0.3">
      <c r="A2" s="271"/>
      <c r="B2" s="272"/>
      <c r="C2" s="272"/>
      <c r="D2" s="272"/>
      <c r="E2" s="272"/>
      <c r="F2" s="272"/>
      <c r="G2" s="272"/>
      <c r="H2" s="273"/>
    </row>
    <row r="3" spans="1:8" ht="15" customHeight="1" thickBot="1" x14ac:dyDescent="0.3">
      <c r="A3" s="274" t="s">
        <v>254</v>
      </c>
      <c r="B3" s="269"/>
      <c r="C3" s="269"/>
      <c r="D3" s="269"/>
      <c r="E3" s="269"/>
      <c r="F3" s="269"/>
      <c r="G3" s="269"/>
      <c r="H3" s="270"/>
    </row>
    <row r="4" spans="1:8" ht="30" customHeight="1" thickBot="1" x14ac:dyDescent="0.3">
      <c r="A4" s="203" t="s">
        <v>135</v>
      </c>
      <c r="B4" s="202" t="s">
        <v>134</v>
      </c>
      <c r="C4" s="107" t="s">
        <v>188</v>
      </c>
      <c r="D4" s="107" t="s">
        <v>298</v>
      </c>
      <c r="E4" s="107" t="s">
        <v>189</v>
      </c>
      <c r="F4" s="108" t="s">
        <v>208</v>
      </c>
      <c r="G4" s="108" t="s">
        <v>136</v>
      </c>
      <c r="H4" s="108" t="s">
        <v>241</v>
      </c>
    </row>
    <row r="5" spans="1:8" ht="15" customHeight="1" thickBot="1" x14ac:dyDescent="0.3">
      <c r="A5" s="102">
        <v>1</v>
      </c>
      <c r="B5" s="276" t="s">
        <v>142</v>
      </c>
      <c r="C5" s="276"/>
      <c r="D5" s="276"/>
      <c r="E5" s="276"/>
      <c r="F5" s="276"/>
      <c r="G5" s="276"/>
      <c r="H5" s="277"/>
    </row>
    <row r="6" spans="1:8" ht="15" customHeight="1" thickBot="1" x14ac:dyDescent="0.3">
      <c r="A6" s="142" t="s">
        <v>137</v>
      </c>
      <c r="B6" s="266" t="s">
        <v>233</v>
      </c>
      <c r="C6" s="275"/>
      <c r="D6" s="266"/>
      <c r="E6" s="266"/>
      <c r="F6" s="266"/>
      <c r="G6" s="266"/>
      <c r="H6" s="267"/>
    </row>
    <row r="7" spans="1:8" ht="15" customHeight="1" x14ac:dyDescent="0.25">
      <c r="A7" s="206" t="s">
        <v>144</v>
      </c>
      <c r="B7" s="207" t="s">
        <v>245</v>
      </c>
      <c r="C7" s="190">
        <v>550</v>
      </c>
      <c r="D7" s="208" t="s">
        <v>138</v>
      </c>
      <c r="E7" s="209">
        <v>96.97</v>
      </c>
      <c r="F7" s="210">
        <f>'M2'!E7</f>
        <v>17.11</v>
      </c>
      <c r="G7" s="118">
        <f>F7*E7</f>
        <v>1659.16</v>
      </c>
      <c r="H7" s="211">
        <f>G7*12</f>
        <v>19909.919999999998</v>
      </c>
    </row>
    <row r="8" spans="1:8" ht="15" customHeight="1" x14ac:dyDescent="0.25">
      <c r="A8" s="112" t="s">
        <v>145</v>
      </c>
      <c r="B8" s="163" t="s">
        <v>246</v>
      </c>
      <c r="C8" s="114">
        <v>450</v>
      </c>
      <c r="D8" s="109" t="s">
        <v>138</v>
      </c>
      <c r="E8" s="115">
        <v>274</v>
      </c>
      <c r="F8" s="140">
        <f>'M2'!E12</f>
        <v>20.91</v>
      </c>
      <c r="G8" s="110">
        <f>F8*E8</f>
        <v>5729.34</v>
      </c>
      <c r="H8" s="141">
        <f>G8*12</f>
        <v>68752.08</v>
      </c>
    </row>
    <row r="9" spans="1:8" ht="15" customHeight="1" x14ac:dyDescent="0.25">
      <c r="A9" s="112" t="s">
        <v>146</v>
      </c>
      <c r="B9" s="163" t="s">
        <v>247</v>
      </c>
      <c r="C9" s="114">
        <v>350</v>
      </c>
      <c r="D9" s="109" t="s">
        <v>138</v>
      </c>
      <c r="E9" s="115">
        <v>572.5</v>
      </c>
      <c r="F9" s="140">
        <f>'M2'!E17</f>
        <v>26.89</v>
      </c>
      <c r="G9" s="110">
        <f>F9*E9</f>
        <v>15394.53</v>
      </c>
      <c r="H9" s="141">
        <f>G9*12</f>
        <v>184734.36</v>
      </c>
    </row>
    <row r="10" spans="1:8" ht="15" customHeight="1" x14ac:dyDescent="0.25">
      <c r="A10" s="112" t="s">
        <v>294</v>
      </c>
      <c r="B10" s="163" t="s">
        <v>248</v>
      </c>
      <c r="C10" s="114">
        <v>800</v>
      </c>
      <c r="D10" s="109" t="s">
        <v>138</v>
      </c>
      <c r="E10" s="115">
        <v>5.25</v>
      </c>
      <c r="F10" s="140">
        <f>'M2'!E22</f>
        <v>11.76</v>
      </c>
      <c r="G10" s="110">
        <f>F10*E10</f>
        <v>61.74</v>
      </c>
      <c r="H10" s="141">
        <f>G10*12</f>
        <v>740.88</v>
      </c>
    </row>
    <row r="11" spans="1:8" ht="15" customHeight="1" thickBot="1" x14ac:dyDescent="0.3">
      <c r="A11" s="112" t="s">
        <v>295</v>
      </c>
      <c r="B11" s="163" t="s">
        <v>296</v>
      </c>
      <c r="C11" s="114">
        <v>650</v>
      </c>
      <c r="D11" s="109" t="s">
        <v>138</v>
      </c>
      <c r="E11" s="115">
        <v>282.37</v>
      </c>
      <c r="F11" s="140">
        <f>'M2'!E27</f>
        <v>14.48</v>
      </c>
      <c r="G11" s="110">
        <f>F11*E11</f>
        <v>4088.72</v>
      </c>
      <c r="H11" s="141">
        <f>G11*12</f>
        <v>49064.639999999999</v>
      </c>
    </row>
    <row r="12" spans="1:8" ht="15" customHeight="1" thickBot="1" x14ac:dyDescent="0.3">
      <c r="A12" s="142">
        <v>2</v>
      </c>
      <c r="B12" s="266" t="s">
        <v>133</v>
      </c>
      <c r="C12" s="266"/>
      <c r="D12" s="266"/>
      <c r="E12" s="266"/>
      <c r="F12" s="266"/>
      <c r="G12" s="266"/>
      <c r="H12" s="267"/>
    </row>
    <row r="13" spans="1:8" ht="15" customHeight="1" x14ac:dyDescent="0.25">
      <c r="A13" s="112" t="s">
        <v>139</v>
      </c>
      <c r="B13" s="163" t="s">
        <v>234</v>
      </c>
      <c r="C13" s="190">
        <v>2700</v>
      </c>
      <c r="D13" s="114" t="s">
        <v>138</v>
      </c>
      <c r="E13" s="115">
        <v>896.42</v>
      </c>
      <c r="F13" s="140">
        <f>'M2'!E33</f>
        <v>3.49</v>
      </c>
      <c r="G13" s="118">
        <f>F13*E13</f>
        <v>3128.51</v>
      </c>
      <c r="H13" s="141">
        <f>G13*12</f>
        <v>37542.120000000003</v>
      </c>
    </row>
    <row r="14" spans="1:8" ht="15" customHeight="1" x14ac:dyDescent="0.25">
      <c r="A14" s="112" t="s">
        <v>140</v>
      </c>
      <c r="B14" s="163" t="s">
        <v>235</v>
      </c>
      <c r="C14" s="114">
        <v>9000</v>
      </c>
      <c r="D14" s="114" t="s">
        <v>138</v>
      </c>
      <c r="E14" s="111">
        <v>1249.58</v>
      </c>
      <c r="F14" s="140">
        <f>'M2'!E38</f>
        <v>1.05</v>
      </c>
      <c r="G14" s="110">
        <f>F14*E14</f>
        <v>1312.06</v>
      </c>
      <c r="H14" s="141">
        <f>G14*12</f>
        <v>15744.72</v>
      </c>
    </row>
    <row r="15" spans="1:8" ht="15" customHeight="1" x14ac:dyDescent="0.25">
      <c r="A15" s="112" t="s">
        <v>207</v>
      </c>
      <c r="B15" s="163" t="s">
        <v>249</v>
      </c>
      <c r="C15" s="114">
        <v>2700</v>
      </c>
      <c r="D15" s="114" t="s">
        <v>138</v>
      </c>
      <c r="E15" s="115">
        <v>826.75</v>
      </c>
      <c r="F15" s="140">
        <f>'M2'!E43</f>
        <v>3.49</v>
      </c>
      <c r="G15" s="110">
        <f>F15*E15</f>
        <v>2885.36</v>
      </c>
      <c r="H15" s="141">
        <f>G15*12</f>
        <v>34624.32</v>
      </c>
    </row>
    <row r="16" spans="1:8" ht="15" customHeight="1" x14ac:dyDescent="0.25">
      <c r="A16" s="112" t="s">
        <v>252</v>
      </c>
      <c r="B16" s="163" t="s">
        <v>250</v>
      </c>
      <c r="C16" s="114">
        <v>2700</v>
      </c>
      <c r="D16" s="114" t="s">
        <v>138</v>
      </c>
      <c r="E16" s="115">
        <v>357.95</v>
      </c>
      <c r="F16" s="140">
        <f>'M2'!E48</f>
        <v>3.49</v>
      </c>
      <c r="G16" s="110">
        <f>F16*E16</f>
        <v>1249.25</v>
      </c>
      <c r="H16" s="141">
        <f>G16*12</f>
        <v>14991</v>
      </c>
    </row>
    <row r="17" spans="1:10" ht="15" customHeight="1" thickBot="1" x14ac:dyDescent="0.3">
      <c r="A17" s="112" t="s">
        <v>253</v>
      </c>
      <c r="B17" s="163" t="s">
        <v>251</v>
      </c>
      <c r="C17" s="191">
        <v>2700</v>
      </c>
      <c r="D17" s="114" t="s">
        <v>138</v>
      </c>
      <c r="E17" s="115">
        <v>64.88</v>
      </c>
      <c r="F17" s="140">
        <f>'M2'!E53</f>
        <v>3.49</v>
      </c>
      <c r="G17" s="110">
        <f>F17*E17</f>
        <v>226.43</v>
      </c>
      <c r="H17" s="141">
        <f>G17*12</f>
        <v>2717.16</v>
      </c>
    </row>
    <row r="18" spans="1:10" ht="15" customHeight="1" thickBot="1" x14ac:dyDescent="0.3">
      <c r="A18" s="142" t="s">
        <v>236</v>
      </c>
      <c r="B18" s="266" t="s">
        <v>230</v>
      </c>
      <c r="C18" s="266"/>
      <c r="D18" s="266"/>
      <c r="E18" s="266"/>
      <c r="F18" s="266"/>
      <c r="G18" s="266"/>
      <c r="H18" s="267"/>
    </row>
    <row r="19" spans="1:10" ht="15" customHeight="1" x14ac:dyDescent="0.25">
      <c r="A19" s="112" t="s">
        <v>141</v>
      </c>
      <c r="B19" s="163" t="s">
        <v>237</v>
      </c>
      <c r="C19" s="190">
        <v>380</v>
      </c>
      <c r="D19" s="114" t="s">
        <v>138</v>
      </c>
      <c r="E19" s="115">
        <v>75.069999999999993</v>
      </c>
      <c r="F19" s="140">
        <f>'M2'!H59</f>
        <v>2.1</v>
      </c>
      <c r="G19" s="110">
        <f>F19*E19</f>
        <v>157.65</v>
      </c>
      <c r="H19" s="141">
        <f>G19*12</f>
        <v>1891.8</v>
      </c>
    </row>
    <row r="20" spans="1:10" ht="15" customHeight="1" thickBot="1" x14ac:dyDescent="0.3">
      <c r="A20" s="112" t="s">
        <v>143</v>
      </c>
      <c r="B20" s="163" t="s">
        <v>238</v>
      </c>
      <c r="C20" s="191">
        <v>380</v>
      </c>
      <c r="D20" s="114" t="s">
        <v>138</v>
      </c>
      <c r="E20" s="115">
        <v>75.069999999999993</v>
      </c>
      <c r="F20" s="140">
        <f>'M2'!H64</f>
        <v>2.1</v>
      </c>
      <c r="G20" s="113">
        <f>F20*E20</f>
        <v>157.65</v>
      </c>
      <c r="H20" s="117">
        <f>G20*12</f>
        <v>1891.8</v>
      </c>
    </row>
    <row r="21" spans="1:10" ht="15" customHeight="1" thickBot="1" x14ac:dyDescent="0.3">
      <c r="A21" s="142">
        <v>4</v>
      </c>
      <c r="B21" s="266" t="s">
        <v>299</v>
      </c>
      <c r="C21" s="266"/>
      <c r="D21" s="266"/>
      <c r="E21" s="266"/>
      <c r="F21" s="266"/>
      <c r="G21" s="266"/>
      <c r="H21" s="267"/>
    </row>
    <row r="22" spans="1:10" ht="15" customHeight="1" thickBot="1" x14ac:dyDescent="0.3">
      <c r="A22" s="112" t="s">
        <v>28</v>
      </c>
      <c r="B22" s="163" t="s">
        <v>297</v>
      </c>
      <c r="C22" s="190">
        <v>800</v>
      </c>
      <c r="D22" s="114" t="s">
        <v>138</v>
      </c>
      <c r="E22" s="225">
        <v>75.88</v>
      </c>
      <c r="F22" s="140">
        <f>'M2'!E70</f>
        <v>11.76</v>
      </c>
      <c r="G22" s="110">
        <f>F22*E22</f>
        <v>892.35</v>
      </c>
      <c r="H22" s="141">
        <f>G22*12</f>
        <v>10708.2</v>
      </c>
      <c r="I22" s="226"/>
      <c r="J22" s="226"/>
    </row>
    <row r="23" spans="1:10" ht="15" customHeight="1" thickBot="1" x14ac:dyDescent="0.3">
      <c r="A23" s="144"/>
      <c r="B23" s="145"/>
      <c r="C23" s="145"/>
      <c r="D23" s="145"/>
      <c r="E23" s="145"/>
      <c r="F23" s="201" t="s">
        <v>232</v>
      </c>
      <c r="G23" s="245">
        <f>SUM(G7:G22)</f>
        <v>36942.75</v>
      </c>
      <c r="H23" s="245">
        <f>SUM(H7:H22)</f>
        <v>443313</v>
      </c>
    </row>
    <row r="26" spans="1:10" x14ac:dyDescent="0.25">
      <c r="B26" s="28"/>
      <c r="C26" s="28"/>
      <c r="F26" s="28"/>
      <c r="G26" s="28"/>
      <c r="H26" s="28"/>
    </row>
    <row r="27" spans="1:10" x14ac:dyDescent="0.25">
      <c r="B27" s="28"/>
      <c r="C27" s="28"/>
      <c r="F27" s="28"/>
      <c r="G27" s="28"/>
      <c r="H27" s="28"/>
    </row>
  </sheetData>
  <mergeCells count="8">
    <mergeCell ref="B21:H21"/>
    <mergeCell ref="B18:H18"/>
    <mergeCell ref="B12:H12"/>
    <mergeCell ref="A1:H1"/>
    <mergeCell ref="A2:H2"/>
    <mergeCell ref="A3:H3"/>
    <mergeCell ref="B6:H6"/>
    <mergeCell ref="B5:H5"/>
  </mergeCells>
  <printOptions horizontalCentered="1"/>
  <pageMargins left="0.31496062992125984" right="0.31496062992125984" top="0.35433070866141736" bottom="1.1811023622047245" header="3.937007874015748E-2" footer="0.31496062992125984"/>
  <pageSetup paperSize="9" scale="62" orientation="portrait" r:id="rId1"/>
  <headerFooter differentFirst="1">
    <firstFooter>&amp;R&amp;G</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70"/>
  <sheetViews>
    <sheetView view="pageBreakPreview" topLeftCell="A13" zoomScaleSheetLayoutView="100" workbookViewId="0">
      <selection activeCell="E10" sqref="E10"/>
    </sheetView>
  </sheetViews>
  <sheetFormatPr defaultRowHeight="15" x14ac:dyDescent="0.25"/>
  <cols>
    <col min="1" max="8" width="12.7109375" customWidth="1"/>
  </cols>
  <sheetData>
    <row r="1" spans="1:8" ht="15.75" customHeight="1" thickBot="1" x14ac:dyDescent="0.3">
      <c r="A1" s="278" t="s">
        <v>167</v>
      </c>
      <c r="B1" s="279"/>
      <c r="C1" s="279"/>
      <c r="D1" s="279"/>
      <c r="E1" s="279"/>
      <c r="F1" s="279"/>
      <c r="G1" s="279"/>
      <c r="H1" s="280"/>
    </row>
    <row r="2" spans="1:8" ht="15" customHeight="1" thickBot="1" x14ac:dyDescent="0.3">
      <c r="A2" s="104"/>
      <c r="B2" s="162"/>
      <c r="C2" s="162"/>
      <c r="D2" s="162"/>
      <c r="E2" s="162"/>
      <c r="F2" s="193"/>
      <c r="G2" s="205"/>
      <c r="H2" s="229"/>
    </row>
    <row r="3" spans="1:8" ht="15" customHeight="1" thickBot="1" x14ac:dyDescent="0.3">
      <c r="A3" s="303" t="s">
        <v>142</v>
      </c>
      <c r="B3" s="266"/>
      <c r="C3" s="266"/>
      <c r="D3" s="266"/>
      <c r="E3" s="266"/>
      <c r="F3" s="266"/>
      <c r="G3" s="266"/>
      <c r="H3" s="267"/>
    </row>
    <row r="4" spans="1:8" ht="15" customHeight="1" x14ac:dyDescent="0.25">
      <c r="A4" s="307" t="s">
        <v>245</v>
      </c>
      <c r="B4" s="308"/>
      <c r="C4" s="308"/>
      <c r="D4" s="308"/>
      <c r="E4" s="309"/>
      <c r="F4" s="204"/>
      <c r="G4" s="252"/>
      <c r="H4" s="253"/>
    </row>
    <row r="5" spans="1:8" ht="60" customHeight="1" x14ac:dyDescent="0.25">
      <c r="A5" s="53" t="s">
        <v>168</v>
      </c>
      <c r="B5" s="286" t="s">
        <v>214</v>
      </c>
      <c r="C5" s="287"/>
      <c r="D5" s="227" t="s">
        <v>169</v>
      </c>
      <c r="E5" s="119" t="s">
        <v>215</v>
      </c>
      <c r="F5" s="129"/>
      <c r="G5" s="252"/>
      <c r="H5" s="253"/>
    </row>
    <row r="6" spans="1:8" ht="15" customHeight="1" x14ac:dyDescent="0.25">
      <c r="A6" s="120" t="s">
        <v>170</v>
      </c>
      <c r="B6" s="124" t="s">
        <v>173</v>
      </c>
      <c r="C6" s="122">
        <f>1/550</f>
        <v>1.81818E-3</v>
      </c>
      <c r="D6" s="123">
        <f>'Auxiliar de Limpeza '!E112</f>
        <v>9411.1299999999992</v>
      </c>
      <c r="E6" s="125">
        <f>ROUND(C6*D6,2)</f>
        <v>17.11</v>
      </c>
      <c r="F6" s="129"/>
      <c r="G6" s="252"/>
      <c r="H6" s="253"/>
    </row>
    <row r="7" spans="1:8" ht="15" customHeight="1" thickBot="1" x14ac:dyDescent="0.3">
      <c r="A7" s="281" t="s">
        <v>172</v>
      </c>
      <c r="B7" s="282"/>
      <c r="C7" s="282"/>
      <c r="D7" s="283"/>
      <c r="E7" s="192">
        <f>SUM(E6:E6)</f>
        <v>17.11</v>
      </c>
      <c r="F7" s="129"/>
      <c r="G7" s="252"/>
      <c r="H7" s="253"/>
    </row>
    <row r="8" spans="1:8" ht="15" customHeight="1" thickBot="1" x14ac:dyDescent="0.3">
      <c r="A8" s="194"/>
      <c r="B8" s="247"/>
      <c r="C8" s="247"/>
      <c r="D8" s="247"/>
      <c r="E8" s="126"/>
      <c r="F8" s="129"/>
      <c r="G8" s="247"/>
      <c r="H8" s="248"/>
    </row>
    <row r="9" spans="1:8" ht="15" customHeight="1" x14ac:dyDescent="0.25">
      <c r="A9" s="295" t="s">
        <v>246</v>
      </c>
      <c r="B9" s="296"/>
      <c r="C9" s="296"/>
      <c r="D9" s="296"/>
      <c r="E9" s="297"/>
      <c r="F9" s="129"/>
      <c r="G9" s="247"/>
      <c r="H9" s="248"/>
    </row>
    <row r="10" spans="1:8" ht="60" customHeight="1" x14ac:dyDescent="0.25">
      <c r="A10" s="53" t="s">
        <v>168</v>
      </c>
      <c r="B10" s="286" t="s">
        <v>214</v>
      </c>
      <c r="C10" s="287"/>
      <c r="D10" s="227" t="s">
        <v>169</v>
      </c>
      <c r="E10" s="119" t="s">
        <v>215</v>
      </c>
      <c r="F10" s="129"/>
      <c r="G10" s="247"/>
      <c r="H10" s="248"/>
    </row>
    <row r="11" spans="1:8" ht="15" customHeight="1" x14ac:dyDescent="0.25">
      <c r="A11" s="120" t="s">
        <v>170</v>
      </c>
      <c r="B11" s="124" t="s">
        <v>178</v>
      </c>
      <c r="C11" s="122">
        <f>1/450</f>
        <v>2.22222E-3</v>
      </c>
      <c r="D11" s="123">
        <f>'Auxiliar de Limpeza '!E112</f>
        <v>9411.1299999999992</v>
      </c>
      <c r="E11" s="125">
        <f>ROUND(C11*D11,2)</f>
        <v>20.91</v>
      </c>
      <c r="F11" s="129"/>
      <c r="G11" s="247"/>
      <c r="H11" s="248"/>
    </row>
    <row r="12" spans="1:8" ht="15" customHeight="1" thickBot="1" x14ac:dyDescent="0.3">
      <c r="A12" s="281" t="s">
        <v>172</v>
      </c>
      <c r="B12" s="282"/>
      <c r="C12" s="282"/>
      <c r="D12" s="283"/>
      <c r="E12" s="192">
        <f>SUM(E11:E11)</f>
        <v>20.91</v>
      </c>
      <c r="F12" s="129"/>
      <c r="G12" s="247"/>
      <c r="H12" s="248"/>
    </row>
    <row r="13" spans="1:8" ht="15" customHeight="1" thickBot="1" x14ac:dyDescent="0.3">
      <c r="A13" s="105"/>
      <c r="B13" s="163"/>
      <c r="C13" s="164"/>
      <c r="D13" s="247"/>
      <c r="E13" s="126"/>
      <c r="F13" s="129"/>
      <c r="G13" s="247"/>
      <c r="H13" s="248"/>
    </row>
    <row r="14" spans="1:8" ht="15" customHeight="1" x14ac:dyDescent="0.25">
      <c r="A14" s="298" t="s">
        <v>247</v>
      </c>
      <c r="B14" s="299"/>
      <c r="C14" s="299"/>
      <c r="D14" s="299"/>
      <c r="E14" s="300"/>
      <c r="F14" s="129"/>
      <c r="G14" s="247"/>
      <c r="H14" s="248"/>
    </row>
    <row r="15" spans="1:8" ht="60" customHeight="1" x14ac:dyDescent="0.25">
      <c r="A15" s="53" t="s">
        <v>168</v>
      </c>
      <c r="B15" s="286" t="s">
        <v>214</v>
      </c>
      <c r="C15" s="287"/>
      <c r="D15" s="227" t="s">
        <v>169</v>
      </c>
      <c r="E15" s="119" t="s">
        <v>215</v>
      </c>
      <c r="F15" s="129"/>
      <c r="G15" s="247"/>
      <c r="H15" s="248"/>
    </row>
    <row r="16" spans="1:8" ht="15" customHeight="1" x14ac:dyDescent="0.25">
      <c r="A16" s="120" t="s">
        <v>170</v>
      </c>
      <c r="B16" s="124" t="s">
        <v>171</v>
      </c>
      <c r="C16" s="122">
        <f>1/350</f>
        <v>2.8571400000000002E-3</v>
      </c>
      <c r="D16" s="123">
        <f>'Auxiliar de Limpeza '!E112</f>
        <v>9411.1299999999992</v>
      </c>
      <c r="E16" s="125">
        <f>ROUND(C16*D16,2)</f>
        <v>26.89</v>
      </c>
      <c r="F16" s="129"/>
      <c r="G16" s="247"/>
      <c r="H16" s="248"/>
    </row>
    <row r="17" spans="1:8" ht="15" customHeight="1" thickBot="1" x14ac:dyDescent="0.3">
      <c r="A17" s="284" t="s">
        <v>172</v>
      </c>
      <c r="B17" s="285"/>
      <c r="C17" s="285"/>
      <c r="D17" s="285"/>
      <c r="E17" s="192">
        <f>SUM(E16:E16)</f>
        <v>26.89</v>
      </c>
      <c r="F17" s="129"/>
      <c r="G17" s="247"/>
      <c r="H17" s="248"/>
    </row>
    <row r="18" spans="1:8" ht="15" customHeight="1" thickBot="1" x14ac:dyDescent="0.3">
      <c r="A18" s="194"/>
      <c r="B18" s="247"/>
      <c r="C18" s="247"/>
      <c r="D18" s="247"/>
      <c r="E18" s="126"/>
      <c r="F18" s="129"/>
      <c r="G18" s="247"/>
      <c r="H18" s="248"/>
    </row>
    <row r="19" spans="1:8" ht="15" customHeight="1" x14ac:dyDescent="0.25">
      <c r="A19" s="288" t="s">
        <v>248</v>
      </c>
      <c r="B19" s="289"/>
      <c r="C19" s="289"/>
      <c r="D19" s="289"/>
      <c r="E19" s="290"/>
      <c r="F19" s="164"/>
      <c r="G19" s="252"/>
      <c r="H19" s="253"/>
    </row>
    <row r="20" spans="1:8" ht="60" customHeight="1" x14ac:dyDescent="0.25">
      <c r="A20" s="53" t="s">
        <v>168</v>
      </c>
      <c r="B20" s="286" t="s">
        <v>214</v>
      </c>
      <c r="C20" s="287"/>
      <c r="D20" s="227" t="s">
        <v>169</v>
      </c>
      <c r="E20" s="119" t="s">
        <v>215</v>
      </c>
      <c r="F20" s="164"/>
      <c r="G20" s="252"/>
      <c r="H20" s="253"/>
    </row>
    <row r="21" spans="1:8" ht="15" customHeight="1" x14ac:dyDescent="0.25">
      <c r="A21" s="120" t="s">
        <v>170</v>
      </c>
      <c r="B21" s="124" t="s">
        <v>190</v>
      </c>
      <c r="C21" s="122">
        <f>1/800</f>
        <v>1.25E-3</v>
      </c>
      <c r="D21" s="123">
        <f>'Auxiliar de Limpeza '!E112</f>
        <v>9411.1299999999992</v>
      </c>
      <c r="E21" s="125">
        <f>ROUND(C21*D21,2)</f>
        <v>11.76</v>
      </c>
      <c r="F21" s="164"/>
      <c r="G21" s="252"/>
      <c r="H21" s="253"/>
    </row>
    <row r="22" spans="1:8" ht="15" customHeight="1" thickBot="1" x14ac:dyDescent="0.3">
      <c r="A22" s="281" t="s">
        <v>172</v>
      </c>
      <c r="B22" s="282"/>
      <c r="C22" s="282"/>
      <c r="D22" s="283"/>
      <c r="E22" s="192">
        <f>SUM(E21:E21)</f>
        <v>11.76</v>
      </c>
      <c r="F22" s="164"/>
      <c r="G22" s="252"/>
      <c r="H22" s="253"/>
    </row>
    <row r="23" spans="1:8" ht="15" customHeight="1" thickBot="1" x14ac:dyDescent="0.3">
      <c r="A23" s="254"/>
      <c r="B23" s="252"/>
      <c r="C23" s="252"/>
      <c r="D23" s="252"/>
      <c r="E23" s="252"/>
      <c r="F23" s="164"/>
      <c r="G23" s="205"/>
      <c r="H23" s="229"/>
    </row>
    <row r="24" spans="1:8" ht="15" customHeight="1" x14ac:dyDescent="0.25">
      <c r="A24" s="295" t="s">
        <v>296</v>
      </c>
      <c r="B24" s="296"/>
      <c r="C24" s="296"/>
      <c r="D24" s="296"/>
      <c r="E24" s="297"/>
      <c r="F24" s="252"/>
      <c r="G24" s="252"/>
      <c r="H24" s="253"/>
    </row>
    <row r="25" spans="1:8" ht="60" customHeight="1" x14ac:dyDescent="0.25">
      <c r="A25" s="53" t="s">
        <v>168</v>
      </c>
      <c r="B25" s="286" t="s">
        <v>214</v>
      </c>
      <c r="C25" s="287"/>
      <c r="D25" s="227" t="s">
        <v>169</v>
      </c>
      <c r="E25" s="119" t="s">
        <v>215</v>
      </c>
      <c r="F25" s="252"/>
      <c r="G25" s="252"/>
      <c r="H25" s="253"/>
    </row>
    <row r="26" spans="1:8" ht="15" customHeight="1" x14ac:dyDescent="0.25">
      <c r="A26" s="120" t="s">
        <v>170</v>
      </c>
      <c r="B26" s="124" t="s">
        <v>300</v>
      </c>
      <c r="C26" s="122">
        <f>1/650</f>
        <v>1.53846E-3</v>
      </c>
      <c r="D26" s="123">
        <f>'Auxiliar de Limpeza '!E112</f>
        <v>9411.1299999999992</v>
      </c>
      <c r="E26" s="125">
        <f>ROUND(C26*D26,2)</f>
        <v>14.48</v>
      </c>
      <c r="F26" s="252"/>
      <c r="G26" s="252"/>
      <c r="H26" s="253"/>
    </row>
    <row r="27" spans="1:8" ht="15" customHeight="1" thickBot="1" x14ac:dyDescent="0.3">
      <c r="A27" s="281" t="s">
        <v>172</v>
      </c>
      <c r="B27" s="282"/>
      <c r="C27" s="282"/>
      <c r="D27" s="283"/>
      <c r="E27" s="192">
        <f>SUM(E26:E26)</f>
        <v>14.48</v>
      </c>
      <c r="F27" s="252"/>
      <c r="G27" s="252"/>
      <c r="H27" s="253"/>
    </row>
    <row r="28" spans="1:8" ht="15" customHeight="1" thickBot="1" x14ac:dyDescent="0.3">
      <c r="A28" s="194"/>
      <c r="B28" s="247"/>
      <c r="C28" s="247"/>
      <c r="D28" s="247"/>
      <c r="E28" s="126"/>
      <c r="F28" s="252"/>
      <c r="G28" s="252"/>
      <c r="H28" s="253"/>
    </row>
    <row r="29" spans="1:8" ht="15" customHeight="1" thickBot="1" x14ac:dyDescent="0.3">
      <c r="A29" s="278" t="s">
        <v>133</v>
      </c>
      <c r="B29" s="279"/>
      <c r="C29" s="279"/>
      <c r="D29" s="279"/>
      <c r="E29" s="279"/>
      <c r="F29" s="279"/>
      <c r="G29" s="279"/>
      <c r="H29" s="280"/>
    </row>
    <row r="30" spans="1:8" ht="15" customHeight="1" x14ac:dyDescent="0.25">
      <c r="A30" s="288" t="s">
        <v>234</v>
      </c>
      <c r="B30" s="289"/>
      <c r="C30" s="289"/>
      <c r="D30" s="289"/>
      <c r="E30" s="290"/>
      <c r="F30" s="164"/>
      <c r="G30" s="252"/>
      <c r="H30" s="253"/>
    </row>
    <row r="31" spans="1:8" ht="60" x14ac:dyDescent="0.25">
      <c r="A31" s="53" t="s">
        <v>168</v>
      </c>
      <c r="B31" s="286" t="s">
        <v>214</v>
      </c>
      <c r="C31" s="287"/>
      <c r="D31" s="227" t="s">
        <v>169</v>
      </c>
      <c r="E31" s="119" t="s">
        <v>215</v>
      </c>
      <c r="F31" s="164"/>
      <c r="G31" s="252"/>
      <c r="H31" s="253"/>
    </row>
    <row r="32" spans="1:8" x14ac:dyDescent="0.25">
      <c r="A32" s="120" t="s">
        <v>170</v>
      </c>
      <c r="B32" s="121" t="s">
        <v>179</v>
      </c>
      <c r="C32" s="122">
        <f>1/2700</f>
        <v>3.7037000000000002E-4</v>
      </c>
      <c r="D32" s="123">
        <f>'Auxiliar de Limpeza '!E112</f>
        <v>9411.1299999999992</v>
      </c>
      <c r="E32" s="125">
        <f>D32*C32</f>
        <v>3.49</v>
      </c>
      <c r="F32" s="164"/>
      <c r="G32" s="252"/>
      <c r="H32" s="253"/>
    </row>
    <row r="33" spans="1:8" ht="15.75" thickBot="1" x14ac:dyDescent="0.3">
      <c r="A33" s="284" t="s">
        <v>172</v>
      </c>
      <c r="B33" s="285"/>
      <c r="C33" s="285"/>
      <c r="D33" s="285"/>
      <c r="E33" s="192">
        <f>SUM(E32:E32)</f>
        <v>3.49</v>
      </c>
      <c r="F33" s="164"/>
      <c r="G33" s="252"/>
      <c r="H33" s="253"/>
    </row>
    <row r="34" spans="1:8" ht="15.75" thickBot="1" x14ac:dyDescent="0.3">
      <c r="A34" s="194"/>
      <c r="B34" s="247"/>
      <c r="C34" s="247"/>
      <c r="D34" s="247"/>
      <c r="E34" s="126"/>
      <c r="F34" s="164"/>
      <c r="G34" s="247"/>
      <c r="H34" s="248"/>
    </row>
    <row r="35" spans="1:8" x14ac:dyDescent="0.25">
      <c r="A35" s="288" t="s">
        <v>235</v>
      </c>
      <c r="B35" s="289"/>
      <c r="C35" s="289"/>
      <c r="D35" s="289"/>
      <c r="E35" s="290"/>
      <c r="F35" s="164"/>
      <c r="G35" s="247"/>
      <c r="H35" s="248"/>
    </row>
    <row r="36" spans="1:8" ht="60" x14ac:dyDescent="0.25">
      <c r="A36" s="53" t="s">
        <v>168</v>
      </c>
      <c r="B36" s="286" t="s">
        <v>214</v>
      </c>
      <c r="C36" s="287"/>
      <c r="D36" s="227" t="s">
        <v>169</v>
      </c>
      <c r="E36" s="119" t="s">
        <v>215</v>
      </c>
      <c r="F36" s="164"/>
      <c r="G36" s="247"/>
      <c r="H36" s="248"/>
    </row>
    <row r="37" spans="1:8" x14ac:dyDescent="0.25">
      <c r="A37" s="120" t="s">
        <v>170</v>
      </c>
      <c r="B37" s="121" t="s">
        <v>231</v>
      </c>
      <c r="C37" s="122">
        <f>1/9000</f>
        <v>1.1111E-4</v>
      </c>
      <c r="D37" s="123">
        <f>'Auxiliar de Limpeza '!E112</f>
        <v>9411.1299999999992</v>
      </c>
      <c r="E37" s="125">
        <f>D37*C37</f>
        <v>1.05</v>
      </c>
      <c r="F37" s="164"/>
      <c r="G37" s="247"/>
      <c r="H37" s="248"/>
    </row>
    <row r="38" spans="1:8" ht="15.75" thickBot="1" x14ac:dyDescent="0.3">
      <c r="A38" s="284" t="s">
        <v>172</v>
      </c>
      <c r="B38" s="285"/>
      <c r="C38" s="285"/>
      <c r="D38" s="285"/>
      <c r="E38" s="192">
        <f>SUM(E37:E37)</f>
        <v>1.05</v>
      </c>
      <c r="F38" s="164"/>
      <c r="G38" s="247"/>
      <c r="H38" s="248"/>
    </row>
    <row r="39" spans="1:8" ht="15.75" thickBot="1" x14ac:dyDescent="0.3">
      <c r="A39" s="106"/>
      <c r="B39" s="164"/>
      <c r="C39" s="164"/>
      <c r="D39" s="247"/>
      <c r="E39" s="126"/>
      <c r="F39" s="164"/>
      <c r="G39" s="247"/>
      <c r="H39" s="248"/>
    </row>
    <row r="40" spans="1:8" x14ac:dyDescent="0.25">
      <c r="A40" s="288" t="s">
        <v>249</v>
      </c>
      <c r="B40" s="289"/>
      <c r="C40" s="289"/>
      <c r="D40" s="289"/>
      <c r="E40" s="290"/>
      <c r="F40" s="164"/>
      <c r="G40" s="247"/>
      <c r="H40" s="248"/>
    </row>
    <row r="41" spans="1:8" ht="60" x14ac:dyDescent="0.25">
      <c r="A41" s="53" t="s">
        <v>168</v>
      </c>
      <c r="B41" s="286" t="s">
        <v>214</v>
      </c>
      <c r="C41" s="287"/>
      <c r="D41" s="227" t="s">
        <v>169</v>
      </c>
      <c r="E41" s="119" t="s">
        <v>215</v>
      </c>
      <c r="F41" s="164"/>
      <c r="G41" s="247"/>
      <c r="H41" s="248"/>
    </row>
    <row r="42" spans="1:8" x14ac:dyDescent="0.25">
      <c r="A42" s="120" t="s">
        <v>170</v>
      </c>
      <c r="B42" s="121" t="s">
        <v>179</v>
      </c>
      <c r="C42" s="122">
        <f>1/2700</f>
        <v>3.7037000000000002E-4</v>
      </c>
      <c r="D42" s="123">
        <f>'Auxiliar de Limpeza '!E112</f>
        <v>9411.1299999999992</v>
      </c>
      <c r="E42" s="125">
        <f>D42*C42</f>
        <v>3.49</v>
      </c>
      <c r="F42" s="164"/>
      <c r="G42" s="247"/>
      <c r="H42" s="248"/>
    </row>
    <row r="43" spans="1:8" ht="15.75" thickBot="1" x14ac:dyDescent="0.3">
      <c r="A43" s="284" t="s">
        <v>172</v>
      </c>
      <c r="B43" s="285"/>
      <c r="C43" s="285"/>
      <c r="D43" s="285"/>
      <c r="E43" s="192">
        <f>SUM(E42:E42)</f>
        <v>3.49</v>
      </c>
      <c r="F43" s="164"/>
      <c r="G43" s="247"/>
      <c r="H43" s="248"/>
    </row>
    <row r="44" spans="1:8" ht="15.75" thickBot="1" x14ac:dyDescent="0.3">
      <c r="A44" s="194"/>
      <c r="B44" s="247"/>
      <c r="C44" s="247"/>
      <c r="D44" s="247"/>
      <c r="E44" s="126"/>
      <c r="F44" s="164"/>
      <c r="G44" s="247"/>
      <c r="H44" s="248"/>
    </row>
    <row r="45" spans="1:8" x14ac:dyDescent="0.25">
      <c r="A45" s="288" t="s">
        <v>250</v>
      </c>
      <c r="B45" s="289"/>
      <c r="C45" s="289"/>
      <c r="D45" s="289"/>
      <c r="E45" s="290"/>
      <c r="F45" s="164"/>
      <c r="G45" s="252"/>
      <c r="H45" s="253"/>
    </row>
    <row r="46" spans="1:8" ht="60" x14ac:dyDescent="0.25">
      <c r="A46" s="53" t="s">
        <v>168</v>
      </c>
      <c r="B46" s="286" t="s">
        <v>214</v>
      </c>
      <c r="C46" s="286"/>
      <c r="D46" s="227" t="s">
        <v>169</v>
      </c>
      <c r="E46" s="119" t="s">
        <v>215</v>
      </c>
      <c r="F46" s="164"/>
      <c r="G46" s="252"/>
      <c r="H46" s="253"/>
    </row>
    <row r="47" spans="1:8" x14ac:dyDescent="0.25">
      <c r="A47" s="120" t="s">
        <v>170</v>
      </c>
      <c r="B47" s="121" t="s">
        <v>179</v>
      </c>
      <c r="C47" s="122">
        <f>1/2700</f>
        <v>3.7037000000000002E-4</v>
      </c>
      <c r="D47" s="123">
        <f>'Auxiliar de Limpeza '!E112</f>
        <v>9411.1299999999992</v>
      </c>
      <c r="E47" s="125">
        <f>D47*C47</f>
        <v>3.49</v>
      </c>
      <c r="F47" s="164"/>
      <c r="G47" s="252"/>
      <c r="H47" s="253"/>
    </row>
    <row r="48" spans="1:8" ht="15.75" thickBot="1" x14ac:dyDescent="0.3">
      <c r="A48" s="284" t="s">
        <v>172</v>
      </c>
      <c r="B48" s="285"/>
      <c r="C48" s="285"/>
      <c r="D48" s="285"/>
      <c r="E48" s="192">
        <f>SUM(E47:E47)</f>
        <v>3.49</v>
      </c>
      <c r="F48" s="164"/>
      <c r="G48" s="252"/>
      <c r="H48" s="253"/>
    </row>
    <row r="49" spans="1:8" ht="15.75" thickBot="1" x14ac:dyDescent="0.3">
      <c r="A49" s="254"/>
      <c r="B49" s="252"/>
      <c r="C49" s="252"/>
      <c r="D49" s="252"/>
      <c r="E49" s="252"/>
      <c r="F49" s="164"/>
      <c r="G49" s="205"/>
      <c r="H49" s="229"/>
    </row>
    <row r="50" spans="1:8" ht="15" customHeight="1" x14ac:dyDescent="0.25">
      <c r="A50" s="288" t="s">
        <v>251</v>
      </c>
      <c r="B50" s="289"/>
      <c r="C50" s="289"/>
      <c r="D50" s="289"/>
      <c r="E50" s="290"/>
      <c r="F50" s="164"/>
      <c r="G50" s="291"/>
      <c r="H50" s="292"/>
    </row>
    <row r="51" spans="1:8" ht="60" x14ac:dyDescent="0.25">
      <c r="A51" s="53" t="s">
        <v>168</v>
      </c>
      <c r="B51" s="286" t="s">
        <v>214</v>
      </c>
      <c r="C51" s="287"/>
      <c r="D51" s="227" t="s">
        <v>169</v>
      </c>
      <c r="E51" s="119" t="s">
        <v>215</v>
      </c>
      <c r="F51" s="164"/>
      <c r="G51" s="163"/>
      <c r="H51" s="109"/>
    </row>
    <row r="52" spans="1:8" ht="15" customHeight="1" x14ac:dyDescent="0.25">
      <c r="A52" s="120" t="s">
        <v>170</v>
      </c>
      <c r="B52" s="121" t="s">
        <v>179</v>
      </c>
      <c r="C52" s="122">
        <f>1/2700</f>
        <v>3.7037000000000002E-4</v>
      </c>
      <c r="D52" s="123">
        <f>'Auxiliar de Limpeza '!E112</f>
        <v>9411.1299999999992</v>
      </c>
      <c r="E52" s="125">
        <f>D52*C52</f>
        <v>3.49</v>
      </c>
      <c r="F52" s="164"/>
      <c r="G52" s="247"/>
      <c r="H52" s="230"/>
    </row>
    <row r="53" spans="1:8" ht="15" customHeight="1" thickBot="1" x14ac:dyDescent="0.3">
      <c r="A53" s="284" t="s">
        <v>172</v>
      </c>
      <c r="B53" s="285"/>
      <c r="C53" s="285"/>
      <c r="D53" s="285"/>
      <c r="E53" s="192">
        <f>SUM(E52:E52)</f>
        <v>3.49</v>
      </c>
      <c r="F53" s="164"/>
      <c r="G53" s="293"/>
      <c r="H53" s="294"/>
    </row>
    <row r="54" spans="1:8" ht="15" customHeight="1" thickBot="1" x14ac:dyDescent="0.3">
      <c r="A54" s="214"/>
      <c r="B54" s="215"/>
      <c r="C54" s="215"/>
      <c r="D54" s="215"/>
      <c r="E54" s="216"/>
      <c r="F54" s="164"/>
      <c r="G54" s="247"/>
      <c r="H54" s="248"/>
    </row>
    <row r="55" spans="1:8" ht="15" customHeight="1" thickBot="1" x14ac:dyDescent="0.3">
      <c r="A55" s="278" t="s">
        <v>230</v>
      </c>
      <c r="B55" s="279"/>
      <c r="C55" s="279"/>
      <c r="D55" s="279"/>
      <c r="E55" s="279"/>
      <c r="F55" s="279"/>
      <c r="G55" s="279"/>
      <c r="H55" s="280"/>
    </row>
    <row r="56" spans="1:8" ht="15" customHeight="1" x14ac:dyDescent="0.25">
      <c r="A56" s="288" t="s">
        <v>237</v>
      </c>
      <c r="B56" s="289"/>
      <c r="C56" s="289"/>
      <c r="D56" s="289"/>
      <c r="E56" s="289"/>
      <c r="F56" s="289"/>
      <c r="G56" s="289"/>
      <c r="H56" s="290"/>
    </row>
    <row r="57" spans="1:8" ht="90" customHeight="1" x14ac:dyDescent="0.25">
      <c r="A57" s="53" t="s">
        <v>168</v>
      </c>
      <c r="B57" s="286" t="s">
        <v>214</v>
      </c>
      <c r="C57" s="287"/>
      <c r="D57" s="227" t="s">
        <v>174</v>
      </c>
      <c r="E57" s="227" t="s">
        <v>175</v>
      </c>
      <c r="F57" s="227" t="s">
        <v>176</v>
      </c>
      <c r="G57" s="227" t="s">
        <v>177</v>
      </c>
      <c r="H57" s="119" t="s">
        <v>216</v>
      </c>
    </row>
    <row r="58" spans="1:8" ht="15" customHeight="1" x14ac:dyDescent="0.25">
      <c r="A58" s="120" t="s">
        <v>170</v>
      </c>
      <c r="B58" s="124" t="s">
        <v>293</v>
      </c>
      <c r="C58" s="122">
        <f>1/380</f>
        <v>2.6315800000000001E-3</v>
      </c>
      <c r="D58" s="124">
        <v>16</v>
      </c>
      <c r="E58" s="124">
        <f>1/188.76</f>
        <v>5.2977325704598403E-3</v>
      </c>
      <c r="F58" s="139">
        <f>C58*D58*E58</f>
        <v>2.231E-4</v>
      </c>
      <c r="G58" s="123">
        <f>'Auxiliar de Limpeza '!E112</f>
        <v>9411.1299999999992</v>
      </c>
      <c r="H58" s="125">
        <f>G58*F58</f>
        <v>2.1</v>
      </c>
    </row>
    <row r="59" spans="1:8" ht="15" customHeight="1" thickBot="1" x14ac:dyDescent="0.3">
      <c r="A59" s="281" t="s">
        <v>172</v>
      </c>
      <c r="B59" s="282"/>
      <c r="C59" s="282"/>
      <c r="D59" s="282"/>
      <c r="E59" s="282"/>
      <c r="F59" s="282"/>
      <c r="G59" s="283"/>
      <c r="H59" s="192">
        <f>SUM(H58:H58)</f>
        <v>2.1</v>
      </c>
    </row>
    <row r="60" spans="1:8" ht="15" customHeight="1" thickBot="1" x14ac:dyDescent="0.3">
      <c r="A60" s="194"/>
      <c r="B60" s="247"/>
      <c r="C60" s="247"/>
      <c r="D60" s="247"/>
      <c r="E60" s="247"/>
      <c r="F60" s="247"/>
      <c r="G60" s="247"/>
      <c r="H60" s="231"/>
    </row>
    <row r="61" spans="1:8" ht="15" customHeight="1" x14ac:dyDescent="0.25">
      <c r="A61" s="288" t="s">
        <v>238</v>
      </c>
      <c r="B61" s="289"/>
      <c r="C61" s="289"/>
      <c r="D61" s="289"/>
      <c r="E61" s="289"/>
      <c r="F61" s="289"/>
      <c r="G61" s="289"/>
      <c r="H61" s="290"/>
    </row>
    <row r="62" spans="1:8" ht="90" customHeight="1" x14ac:dyDescent="0.25">
      <c r="A62" s="53" t="s">
        <v>168</v>
      </c>
      <c r="B62" s="286" t="s">
        <v>214</v>
      </c>
      <c r="C62" s="287"/>
      <c r="D62" s="227" t="s">
        <v>174</v>
      </c>
      <c r="E62" s="227" t="s">
        <v>175</v>
      </c>
      <c r="F62" s="227" t="s">
        <v>176</v>
      </c>
      <c r="G62" s="227" t="s">
        <v>177</v>
      </c>
      <c r="H62" s="119" t="s">
        <v>216</v>
      </c>
    </row>
    <row r="63" spans="1:8" ht="15" customHeight="1" x14ac:dyDescent="0.25">
      <c r="A63" s="120" t="s">
        <v>170</v>
      </c>
      <c r="B63" s="124" t="s">
        <v>293</v>
      </c>
      <c r="C63" s="122">
        <f>1/380</f>
        <v>2.6315800000000001E-3</v>
      </c>
      <c r="D63" s="124">
        <v>16</v>
      </c>
      <c r="E63" s="124">
        <f>1/188.76</f>
        <v>5.2977325704598403E-3</v>
      </c>
      <c r="F63" s="139">
        <f>C63*D63*E63</f>
        <v>2.231E-4</v>
      </c>
      <c r="G63" s="123">
        <f>'Auxiliar de Limpeza '!E112</f>
        <v>9411.1299999999992</v>
      </c>
      <c r="H63" s="125">
        <f>G63*F63</f>
        <v>2.1</v>
      </c>
    </row>
    <row r="64" spans="1:8" ht="15" customHeight="1" thickBot="1" x14ac:dyDescent="0.3">
      <c r="A64" s="284" t="s">
        <v>172</v>
      </c>
      <c r="B64" s="285"/>
      <c r="C64" s="285"/>
      <c r="D64" s="285"/>
      <c r="E64" s="285"/>
      <c r="F64" s="285"/>
      <c r="G64" s="285"/>
      <c r="H64" s="192">
        <f>SUM(H63:H63)</f>
        <v>2.1</v>
      </c>
    </row>
    <row r="65" spans="1:8" ht="15" customHeight="1" thickBot="1" x14ac:dyDescent="0.3">
      <c r="A65" s="214"/>
      <c r="B65" s="215"/>
      <c r="C65" s="215"/>
      <c r="D65" s="215"/>
      <c r="E65" s="215"/>
      <c r="F65" s="215"/>
      <c r="G65" s="215"/>
      <c r="H65" s="232"/>
    </row>
    <row r="66" spans="1:8" ht="15.75" customHeight="1" thickBot="1" x14ac:dyDescent="0.3">
      <c r="A66" s="278" t="s">
        <v>299</v>
      </c>
      <c r="B66" s="279"/>
      <c r="C66" s="279"/>
      <c r="D66" s="279"/>
      <c r="E66" s="279"/>
      <c r="F66" s="279"/>
      <c r="G66" s="279"/>
      <c r="H66" s="280"/>
    </row>
    <row r="67" spans="1:8" x14ac:dyDescent="0.25">
      <c r="A67" s="304" t="s">
        <v>297</v>
      </c>
      <c r="B67" s="305"/>
      <c r="C67" s="305"/>
      <c r="D67" s="305"/>
      <c r="E67" s="306"/>
      <c r="F67" s="164"/>
      <c r="G67" s="213"/>
      <c r="H67" s="233"/>
    </row>
    <row r="68" spans="1:8" ht="60" customHeight="1" x14ac:dyDescent="0.25">
      <c r="A68" s="53" t="s">
        <v>168</v>
      </c>
      <c r="B68" s="301" t="s">
        <v>214</v>
      </c>
      <c r="C68" s="302"/>
      <c r="D68" s="227" t="s">
        <v>169</v>
      </c>
      <c r="E68" s="119" t="s">
        <v>215</v>
      </c>
      <c r="F68" s="164"/>
      <c r="G68" s="163"/>
      <c r="H68" s="234"/>
    </row>
    <row r="69" spans="1:8" x14ac:dyDescent="0.25">
      <c r="A69" s="120" t="s">
        <v>170</v>
      </c>
      <c r="B69" s="121" t="s">
        <v>190</v>
      </c>
      <c r="C69" s="122">
        <f>1/800</f>
        <v>1.25E-3</v>
      </c>
      <c r="D69" s="123">
        <f>'Auxiliar de Limpeza '!E112</f>
        <v>9411.1299999999992</v>
      </c>
      <c r="E69" s="125">
        <f>D69*C69</f>
        <v>11.76</v>
      </c>
      <c r="F69" s="164"/>
      <c r="G69" s="247"/>
      <c r="H69" s="230"/>
    </row>
    <row r="70" spans="1:8" ht="15.75" thickBot="1" x14ac:dyDescent="0.3">
      <c r="A70" s="281" t="s">
        <v>172</v>
      </c>
      <c r="B70" s="282"/>
      <c r="C70" s="282"/>
      <c r="D70" s="283"/>
      <c r="E70" s="192">
        <f>SUM(E69:E69)</f>
        <v>11.76</v>
      </c>
      <c r="F70" s="235"/>
      <c r="G70" s="236"/>
      <c r="H70" s="237"/>
    </row>
  </sheetData>
  <mergeCells count="46">
    <mergeCell ref="B68:C68"/>
    <mergeCell ref="A70:D70"/>
    <mergeCell ref="A3:H3"/>
    <mergeCell ref="A1:H1"/>
    <mergeCell ref="A29:H29"/>
    <mergeCell ref="A24:E24"/>
    <mergeCell ref="B25:C25"/>
    <mergeCell ref="A27:D27"/>
    <mergeCell ref="A66:H66"/>
    <mergeCell ref="A67:E67"/>
    <mergeCell ref="A7:D7"/>
    <mergeCell ref="A22:D22"/>
    <mergeCell ref="A4:E4"/>
    <mergeCell ref="B5:C5"/>
    <mergeCell ref="A19:E19"/>
    <mergeCell ref="B20:C20"/>
    <mergeCell ref="A9:E9"/>
    <mergeCell ref="B10:C10"/>
    <mergeCell ref="A40:E40"/>
    <mergeCell ref="A35:E35"/>
    <mergeCell ref="B36:C36"/>
    <mergeCell ref="A33:D33"/>
    <mergeCell ref="A12:D12"/>
    <mergeCell ref="A17:D17"/>
    <mergeCell ref="B15:C15"/>
    <mergeCell ref="A14:E14"/>
    <mergeCell ref="A30:E30"/>
    <mergeCell ref="B31:C31"/>
    <mergeCell ref="A50:E50"/>
    <mergeCell ref="B51:C51"/>
    <mergeCell ref="G50:H50"/>
    <mergeCell ref="A38:D38"/>
    <mergeCell ref="A53:D53"/>
    <mergeCell ref="A48:D48"/>
    <mergeCell ref="A45:E45"/>
    <mergeCell ref="B46:C46"/>
    <mergeCell ref="A43:D43"/>
    <mergeCell ref="G53:H53"/>
    <mergeCell ref="B41:C41"/>
    <mergeCell ref="A55:H55"/>
    <mergeCell ref="A59:G59"/>
    <mergeCell ref="A64:G64"/>
    <mergeCell ref="B62:C62"/>
    <mergeCell ref="A56:H56"/>
    <mergeCell ref="A61:H61"/>
    <mergeCell ref="B57:C57"/>
  </mergeCells>
  <printOptions horizontalCentered="1"/>
  <pageMargins left="0.31496062992125984" right="0.31496062992125984" top="0.35433070866141736" bottom="1.1811023622047245" header="3.937007874015748E-2" footer="0.31496062992125984"/>
  <pageSetup paperSize="9" scale="44" orientation="portrait" r:id="rId1"/>
  <headerFooter differentFirst="1">
    <firstFooter>&amp;R&amp;G</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124"/>
  <sheetViews>
    <sheetView tabSelected="1" view="pageBreakPreview" topLeftCell="A56" zoomScaleNormal="115" zoomScaleSheetLayoutView="100" workbookViewId="0">
      <selection activeCell="D65" sqref="D65:D70"/>
    </sheetView>
  </sheetViews>
  <sheetFormatPr defaultColWidth="9.140625" defaultRowHeight="15.75" x14ac:dyDescent="0.25"/>
  <cols>
    <col min="1" max="1" width="8.7109375" style="32" customWidth="1"/>
    <col min="2" max="2" width="72.7109375" style="34" customWidth="1"/>
    <col min="3" max="3" width="25.7109375" style="34" customWidth="1"/>
    <col min="4" max="4" width="8.7109375" style="35" customWidth="1"/>
    <col min="5" max="5" width="15.7109375" style="40" customWidth="1"/>
    <col min="6" max="16384" width="9.140625" style="31"/>
  </cols>
  <sheetData>
    <row r="1" spans="1:5" x14ac:dyDescent="0.25">
      <c r="A1" s="331"/>
      <c r="B1" s="332"/>
      <c r="C1" s="332"/>
      <c r="D1" s="332"/>
      <c r="E1" s="333"/>
    </row>
    <row r="2" spans="1:5" s="41" customFormat="1" ht="16.5" customHeight="1" thickBot="1" x14ac:dyDescent="0.3">
      <c r="A2" s="355"/>
      <c r="B2" s="356"/>
      <c r="C2" s="356"/>
      <c r="D2" s="356"/>
      <c r="E2" s="357"/>
    </row>
    <row r="3" spans="1:5" s="41" customFormat="1" x14ac:dyDescent="0.25">
      <c r="A3" s="361" t="s">
        <v>125</v>
      </c>
      <c r="B3" s="362"/>
      <c r="C3" s="362"/>
      <c r="D3" s="362"/>
      <c r="E3" s="363"/>
    </row>
    <row r="4" spans="1:5" s="41" customFormat="1" ht="15" customHeight="1" x14ac:dyDescent="0.25">
      <c r="A4" s="48" t="s">
        <v>0</v>
      </c>
      <c r="B4" s="49" t="s">
        <v>1</v>
      </c>
      <c r="C4" s="358">
        <v>2025</v>
      </c>
      <c r="D4" s="359"/>
      <c r="E4" s="360"/>
    </row>
    <row r="5" spans="1:5" s="41" customFormat="1" ht="60" customHeight="1" x14ac:dyDescent="0.25">
      <c r="A5" s="48" t="s">
        <v>2</v>
      </c>
      <c r="B5" s="49" t="s">
        <v>134</v>
      </c>
      <c r="C5" s="334" t="s">
        <v>239</v>
      </c>
      <c r="D5" s="335"/>
      <c r="E5" s="336"/>
    </row>
    <row r="6" spans="1:5" s="41" customFormat="1" ht="15.75" customHeight="1" x14ac:dyDescent="0.25">
      <c r="A6" s="48" t="s">
        <v>3</v>
      </c>
      <c r="B6" s="49" t="s">
        <v>4</v>
      </c>
      <c r="C6" s="334" t="s">
        <v>358</v>
      </c>
      <c r="D6" s="335"/>
      <c r="E6" s="336"/>
    </row>
    <row r="7" spans="1:5" s="41" customFormat="1" x14ac:dyDescent="0.25">
      <c r="A7" s="48"/>
      <c r="B7" s="49" t="s">
        <v>213</v>
      </c>
      <c r="C7" s="334">
        <v>12</v>
      </c>
      <c r="D7" s="335"/>
      <c r="E7" s="336"/>
    </row>
    <row r="8" spans="1:5" s="41" customFormat="1" x14ac:dyDescent="0.25">
      <c r="A8" s="337" t="s">
        <v>6</v>
      </c>
      <c r="B8" s="338"/>
      <c r="C8" s="338"/>
      <c r="D8" s="338"/>
      <c r="E8" s="339"/>
    </row>
    <row r="9" spans="1:5" s="41" customFormat="1" x14ac:dyDescent="0.25">
      <c r="A9" s="340" t="s">
        <v>7</v>
      </c>
      <c r="B9" s="341"/>
      <c r="C9" s="341"/>
      <c r="D9" s="341"/>
      <c r="E9" s="342"/>
    </row>
    <row r="10" spans="1:5" s="41" customFormat="1" ht="15.75" customHeight="1" x14ac:dyDescent="0.25">
      <c r="A10" s="370" t="s">
        <v>8</v>
      </c>
      <c r="B10" s="371"/>
      <c r="C10" s="371"/>
      <c r="D10" s="371"/>
      <c r="E10" s="372"/>
    </row>
    <row r="11" spans="1:5" s="41" customFormat="1" ht="30" customHeight="1" x14ac:dyDescent="0.25">
      <c r="A11" s="346" t="s">
        <v>9</v>
      </c>
      <c r="B11" s="347"/>
      <c r="C11" s="347"/>
      <c r="D11" s="348"/>
      <c r="E11" s="127" t="s">
        <v>10</v>
      </c>
    </row>
    <row r="12" spans="1:5" s="41" customFormat="1" ht="15.75" customHeight="1" x14ac:dyDescent="0.25">
      <c r="A12" s="48">
        <v>1</v>
      </c>
      <c r="B12" s="50" t="s">
        <v>126</v>
      </c>
      <c r="C12" s="343" t="s">
        <v>240</v>
      </c>
      <c r="D12" s="344"/>
      <c r="E12" s="345"/>
    </row>
    <row r="13" spans="1:5" s="41" customFormat="1" ht="15.75" customHeight="1" x14ac:dyDescent="0.25">
      <c r="A13" s="48">
        <v>2</v>
      </c>
      <c r="B13" s="50" t="s">
        <v>11</v>
      </c>
      <c r="C13" s="352">
        <v>1743.48</v>
      </c>
      <c r="D13" s="353"/>
      <c r="E13" s="354"/>
    </row>
    <row r="14" spans="1:5" s="41" customFormat="1" ht="15.75" customHeight="1" x14ac:dyDescent="0.25">
      <c r="A14" s="48">
        <v>3</v>
      </c>
      <c r="B14" s="50" t="s">
        <v>12</v>
      </c>
      <c r="C14" s="343" t="s">
        <v>269</v>
      </c>
      <c r="D14" s="344"/>
      <c r="E14" s="345"/>
    </row>
    <row r="15" spans="1:5" s="41" customFormat="1" ht="15.75" customHeight="1" x14ac:dyDescent="0.25">
      <c r="A15" s="48">
        <v>4</v>
      </c>
      <c r="B15" s="51" t="s">
        <v>13</v>
      </c>
      <c r="C15" s="349">
        <v>2025</v>
      </c>
      <c r="D15" s="350"/>
      <c r="E15" s="351"/>
    </row>
    <row r="16" spans="1:5" s="42" customFormat="1" x14ac:dyDescent="0.25">
      <c r="A16" s="313" t="s">
        <v>14</v>
      </c>
      <c r="B16" s="314"/>
      <c r="C16" s="314"/>
      <c r="D16" s="314"/>
      <c r="E16" s="315"/>
    </row>
    <row r="17" spans="1:5" s="42" customFormat="1" x14ac:dyDescent="0.25">
      <c r="A17" s="52">
        <v>1</v>
      </c>
      <c r="B17" s="367" t="s">
        <v>15</v>
      </c>
      <c r="C17" s="368"/>
      <c r="D17" s="369"/>
      <c r="E17" s="77" t="s">
        <v>10</v>
      </c>
    </row>
    <row r="18" spans="1:5" s="41" customFormat="1" ht="15.75" customHeight="1" x14ac:dyDescent="0.25">
      <c r="A18" s="53" t="s">
        <v>0</v>
      </c>
      <c r="B18" s="176" t="s">
        <v>16</v>
      </c>
      <c r="C18" s="373"/>
      <c r="D18" s="374"/>
      <c r="E18" s="78">
        <f>C13</f>
        <v>1743.48</v>
      </c>
    </row>
    <row r="19" spans="1:5" s="41" customFormat="1" ht="15.75" customHeight="1" x14ac:dyDescent="0.25">
      <c r="A19" s="53" t="s">
        <v>2</v>
      </c>
      <c r="B19" s="176" t="s">
        <v>17</v>
      </c>
      <c r="C19" s="329" t="s">
        <v>18</v>
      </c>
      <c r="D19" s="330"/>
      <c r="E19" s="79"/>
    </row>
    <row r="20" spans="1:5" s="41" customFormat="1" ht="15.75" customHeight="1" x14ac:dyDescent="0.25">
      <c r="A20" s="53" t="s">
        <v>3</v>
      </c>
      <c r="B20" s="176" t="s">
        <v>19</v>
      </c>
      <c r="C20" s="319" t="s">
        <v>357</v>
      </c>
      <c r="D20" s="320"/>
      <c r="E20" s="79">
        <f>40%*1518</f>
        <v>607.20000000000005</v>
      </c>
    </row>
    <row r="21" spans="1:5" s="41" customFormat="1" ht="15.75" customHeight="1" x14ac:dyDescent="0.25">
      <c r="A21" s="53" t="s">
        <v>5</v>
      </c>
      <c r="B21" s="176" t="s">
        <v>20</v>
      </c>
      <c r="C21" s="329" t="s">
        <v>21</v>
      </c>
      <c r="D21" s="330"/>
      <c r="E21" s="79"/>
    </row>
    <row r="22" spans="1:5" s="41" customFormat="1" ht="15.75" customHeight="1" x14ac:dyDescent="0.25">
      <c r="A22" s="53" t="s">
        <v>22</v>
      </c>
      <c r="B22" s="176" t="s">
        <v>217</v>
      </c>
      <c r="C22" s="329" t="s">
        <v>23</v>
      </c>
      <c r="D22" s="330"/>
      <c r="E22" s="79"/>
    </row>
    <row r="23" spans="1:5" s="41" customFormat="1" x14ac:dyDescent="0.25">
      <c r="A23" s="53" t="s">
        <v>24</v>
      </c>
      <c r="B23" s="176" t="s">
        <v>131</v>
      </c>
      <c r="C23" s="324"/>
      <c r="D23" s="325"/>
      <c r="E23" s="79"/>
    </row>
    <row r="24" spans="1:5" s="41" customFormat="1" ht="15.75" customHeight="1" x14ac:dyDescent="0.25">
      <c r="A24" s="53" t="s">
        <v>25</v>
      </c>
      <c r="B24" s="177" t="s">
        <v>132</v>
      </c>
      <c r="C24" s="324"/>
      <c r="D24" s="325"/>
      <c r="E24" s="79"/>
    </row>
    <row r="25" spans="1:5" s="42" customFormat="1" ht="15.75" customHeight="1" x14ac:dyDescent="0.25">
      <c r="A25" s="364" t="s">
        <v>153</v>
      </c>
      <c r="B25" s="365"/>
      <c r="C25" s="365"/>
      <c r="D25" s="366"/>
      <c r="E25" s="80">
        <f>SUM(E18:E24)</f>
        <v>2350.6799999999998</v>
      </c>
    </row>
    <row r="26" spans="1:5" s="42" customFormat="1" x14ac:dyDescent="0.25">
      <c r="A26" s="313" t="s">
        <v>47</v>
      </c>
      <c r="B26" s="314"/>
      <c r="C26" s="314"/>
      <c r="D26" s="314"/>
      <c r="E26" s="315"/>
    </row>
    <row r="27" spans="1:5" s="41" customFormat="1" x14ac:dyDescent="0.25">
      <c r="A27" s="71">
        <v>2</v>
      </c>
      <c r="B27" s="178" t="s">
        <v>218</v>
      </c>
      <c r="C27" s="72" t="s">
        <v>203</v>
      </c>
      <c r="D27" s="73"/>
      <c r="E27" s="81" t="s">
        <v>10</v>
      </c>
    </row>
    <row r="28" spans="1:5" s="41" customFormat="1" x14ac:dyDescent="0.25">
      <c r="A28" s="55" t="s">
        <v>0</v>
      </c>
      <c r="B28" s="56" t="s">
        <v>33</v>
      </c>
      <c r="C28" s="44">
        <f>E25</f>
        <v>2350.6799999999998</v>
      </c>
      <c r="D28" s="59">
        <f>1/12</f>
        <v>8.3299999999999999E-2</v>
      </c>
      <c r="E28" s="74">
        <f>(C28)*D28</f>
        <v>195.81</v>
      </c>
    </row>
    <row r="29" spans="1:5" s="41" customFormat="1" x14ac:dyDescent="0.25">
      <c r="A29" s="55" t="s">
        <v>2</v>
      </c>
      <c r="B29" s="179" t="s">
        <v>279</v>
      </c>
      <c r="C29" s="44">
        <f>E25</f>
        <v>2350.6799999999998</v>
      </c>
      <c r="D29" s="59">
        <v>0.1111</v>
      </c>
      <c r="E29" s="74">
        <f>(C29)*D29</f>
        <v>261.16000000000003</v>
      </c>
    </row>
    <row r="30" spans="1:5" x14ac:dyDescent="0.25">
      <c r="A30" s="310" t="s">
        <v>31</v>
      </c>
      <c r="B30" s="311"/>
      <c r="C30" s="312"/>
      <c r="D30" s="76">
        <f>SUM(D28:D29)</f>
        <v>0.19439999999999999</v>
      </c>
      <c r="E30" s="75">
        <f>SUM(E28:E29)</f>
        <v>456.97</v>
      </c>
    </row>
    <row r="31" spans="1:5" ht="30" customHeight="1" x14ac:dyDescent="0.25">
      <c r="A31" s="326" t="s">
        <v>221</v>
      </c>
      <c r="B31" s="327"/>
      <c r="C31" s="327"/>
      <c r="D31" s="327"/>
      <c r="E31" s="328"/>
    </row>
    <row r="32" spans="1:5" x14ac:dyDescent="0.25">
      <c r="A32" s="249" t="s">
        <v>139</v>
      </c>
      <c r="B32" s="54" t="s">
        <v>29</v>
      </c>
      <c r="C32" s="43" t="s">
        <v>203</v>
      </c>
      <c r="D32" s="57"/>
      <c r="E32" s="82" t="s">
        <v>10</v>
      </c>
    </row>
    <row r="33" spans="1:5" x14ac:dyDescent="0.25">
      <c r="A33" s="55" t="s">
        <v>0</v>
      </c>
      <c r="B33" s="180" t="s">
        <v>287</v>
      </c>
      <c r="C33" s="44">
        <f>E$25+E$30</f>
        <v>2807.65</v>
      </c>
      <c r="D33" s="59">
        <v>0.2</v>
      </c>
      <c r="E33" s="74">
        <f t="shared" ref="E33:E40" si="0">C33*D33</f>
        <v>561.53</v>
      </c>
    </row>
    <row r="34" spans="1:5" x14ac:dyDescent="0.25">
      <c r="A34" s="55" t="s">
        <v>2</v>
      </c>
      <c r="B34" s="180" t="s">
        <v>291</v>
      </c>
      <c r="C34" s="44">
        <f>E$25+E$30</f>
        <v>2807.65</v>
      </c>
      <c r="D34" s="251">
        <v>2.5000000000000001E-2</v>
      </c>
      <c r="E34" s="74">
        <f t="shared" si="0"/>
        <v>70.19</v>
      </c>
    </row>
    <row r="35" spans="1:5" ht="45" x14ac:dyDescent="0.25">
      <c r="A35" s="55" t="s">
        <v>3</v>
      </c>
      <c r="B35" s="181" t="s">
        <v>292</v>
      </c>
      <c r="C35" s="44">
        <f>E$25+E$30</f>
        <v>2807.65</v>
      </c>
      <c r="D35" s="251">
        <v>0.03</v>
      </c>
      <c r="E35" s="74">
        <f t="shared" si="0"/>
        <v>84.23</v>
      </c>
    </row>
    <row r="36" spans="1:5" x14ac:dyDescent="0.25">
      <c r="A36" s="55" t="s">
        <v>5</v>
      </c>
      <c r="B36" s="180" t="s">
        <v>288</v>
      </c>
      <c r="C36" s="44">
        <f t="shared" ref="C36:C40" si="1">E$25+E$30</f>
        <v>2807.65</v>
      </c>
      <c r="D36" s="251">
        <v>1.4999999999999999E-2</v>
      </c>
      <c r="E36" s="74">
        <f t="shared" si="0"/>
        <v>42.11</v>
      </c>
    </row>
    <row r="37" spans="1:5" x14ac:dyDescent="0.25">
      <c r="A37" s="55" t="s">
        <v>22</v>
      </c>
      <c r="B37" s="180" t="s">
        <v>289</v>
      </c>
      <c r="C37" s="44">
        <f t="shared" si="1"/>
        <v>2807.65</v>
      </c>
      <c r="D37" s="251">
        <v>0.01</v>
      </c>
      <c r="E37" s="74">
        <f t="shared" si="0"/>
        <v>28.08</v>
      </c>
    </row>
    <row r="38" spans="1:5" x14ac:dyDescent="0.25">
      <c r="A38" s="55" t="s">
        <v>24</v>
      </c>
      <c r="B38" s="183" t="s">
        <v>220</v>
      </c>
      <c r="C38" s="44">
        <f t="shared" si="1"/>
        <v>2807.65</v>
      </c>
      <c r="D38" s="251">
        <v>6.0000000000000001E-3</v>
      </c>
      <c r="E38" s="74">
        <f t="shared" si="0"/>
        <v>16.850000000000001</v>
      </c>
    </row>
    <row r="39" spans="1:5" ht="30" x14ac:dyDescent="0.25">
      <c r="A39" s="55" t="s">
        <v>25</v>
      </c>
      <c r="B39" s="181" t="s">
        <v>290</v>
      </c>
      <c r="C39" s="44">
        <f t="shared" si="1"/>
        <v>2807.65</v>
      </c>
      <c r="D39" s="251">
        <v>2E-3</v>
      </c>
      <c r="E39" s="74">
        <f t="shared" si="0"/>
        <v>5.62</v>
      </c>
    </row>
    <row r="40" spans="1:5" x14ac:dyDescent="0.25">
      <c r="A40" s="55" t="s">
        <v>30</v>
      </c>
      <c r="B40" s="182" t="s">
        <v>219</v>
      </c>
      <c r="C40" s="44">
        <f t="shared" si="1"/>
        <v>2807.65</v>
      </c>
      <c r="D40" s="251">
        <v>0.08</v>
      </c>
      <c r="E40" s="74">
        <f t="shared" si="0"/>
        <v>224.61</v>
      </c>
    </row>
    <row r="41" spans="1:5" s="33" customFormat="1" x14ac:dyDescent="0.25">
      <c r="A41" s="310" t="s">
        <v>31</v>
      </c>
      <c r="B41" s="311"/>
      <c r="C41" s="312"/>
      <c r="D41" s="69">
        <f>SUM(D33:D40)</f>
        <v>0.36799999999999999</v>
      </c>
      <c r="E41" s="75">
        <f>SUM(E33:E40)</f>
        <v>1033.22</v>
      </c>
    </row>
    <row r="42" spans="1:5" s="33" customFormat="1" x14ac:dyDescent="0.25">
      <c r="A42" s="321" t="s">
        <v>187</v>
      </c>
      <c r="B42" s="322"/>
      <c r="C42" s="322"/>
      <c r="D42" s="322"/>
      <c r="E42" s="323"/>
    </row>
    <row r="43" spans="1:5" s="33" customFormat="1" x14ac:dyDescent="0.25">
      <c r="A43" s="184" t="s">
        <v>207</v>
      </c>
      <c r="B43" s="185" t="s">
        <v>222</v>
      </c>
      <c r="C43" s="72" t="s">
        <v>203</v>
      </c>
      <c r="D43" s="73"/>
      <c r="E43" s="81" t="s">
        <v>10</v>
      </c>
    </row>
    <row r="44" spans="1:5" s="33" customFormat="1" x14ac:dyDescent="0.25">
      <c r="A44" s="186" t="s">
        <v>0</v>
      </c>
      <c r="B44" s="60" t="s">
        <v>147</v>
      </c>
      <c r="C44" s="83"/>
      <c r="D44" s="60"/>
      <c r="E44" s="84">
        <v>139.72</v>
      </c>
    </row>
    <row r="45" spans="1:5" s="33" customFormat="1" x14ac:dyDescent="0.25">
      <c r="A45" s="187" t="s">
        <v>2</v>
      </c>
      <c r="B45" s="177" t="s">
        <v>223</v>
      </c>
      <c r="C45" s="228" t="s">
        <v>359</v>
      </c>
      <c r="D45" s="61"/>
      <c r="E45" s="78">
        <f>626.94-(626.94*0.99%)</f>
        <v>620.73</v>
      </c>
    </row>
    <row r="46" spans="1:5" s="33" customFormat="1" x14ac:dyDescent="0.25">
      <c r="A46" s="55" t="s">
        <v>3</v>
      </c>
      <c r="B46" s="56" t="s">
        <v>127</v>
      </c>
      <c r="C46" s="46"/>
      <c r="D46" s="62"/>
      <c r="E46" s="85">
        <v>0</v>
      </c>
    </row>
    <row r="47" spans="1:5" s="33" customFormat="1" x14ac:dyDescent="0.25">
      <c r="A47" s="55" t="s">
        <v>5</v>
      </c>
      <c r="B47" s="56" t="s">
        <v>128</v>
      </c>
      <c r="C47" s="46" t="s">
        <v>360</v>
      </c>
      <c r="D47" s="62"/>
      <c r="E47" s="85">
        <f>1743.48*50%*0.0199*2/12</f>
        <v>2.89</v>
      </c>
    </row>
    <row r="48" spans="1:5" s="33" customFormat="1" x14ac:dyDescent="0.25">
      <c r="A48" s="55" t="s">
        <v>22</v>
      </c>
      <c r="B48" s="56" t="s">
        <v>129</v>
      </c>
      <c r="C48" s="46"/>
      <c r="D48" s="62"/>
      <c r="E48" s="74">
        <v>45.8</v>
      </c>
    </row>
    <row r="49" spans="1:5" s="33" customFormat="1" ht="15.75" customHeight="1" x14ac:dyDescent="0.25">
      <c r="A49" s="310" t="s">
        <v>26</v>
      </c>
      <c r="B49" s="311"/>
      <c r="C49" s="311"/>
      <c r="D49" s="312"/>
      <c r="E49" s="75">
        <f>SUM(E44:E48)</f>
        <v>809.14</v>
      </c>
    </row>
    <row r="50" spans="1:5" s="33" customFormat="1" ht="15.75" customHeight="1" x14ac:dyDescent="0.25">
      <c r="A50" s="321" t="s">
        <v>152</v>
      </c>
      <c r="B50" s="322"/>
      <c r="C50" s="322"/>
      <c r="D50" s="322"/>
      <c r="E50" s="323"/>
    </row>
    <row r="51" spans="1:5" s="33" customFormat="1" ht="15.75" customHeight="1" x14ac:dyDescent="0.25">
      <c r="A51" s="52" t="s">
        <v>139</v>
      </c>
      <c r="B51" s="174" t="s">
        <v>148</v>
      </c>
      <c r="C51" s="64"/>
      <c r="D51" s="64"/>
      <c r="E51" s="86">
        <f>E30</f>
        <v>456.97</v>
      </c>
    </row>
    <row r="52" spans="1:5" s="33" customFormat="1" ht="15.75" customHeight="1" x14ac:dyDescent="0.25">
      <c r="A52" s="52" t="s">
        <v>140</v>
      </c>
      <c r="B52" s="174" t="s">
        <v>149</v>
      </c>
      <c r="C52" s="64"/>
      <c r="D52" s="64"/>
      <c r="E52" s="86">
        <f>E41</f>
        <v>1033.22</v>
      </c>
    </row>
    <row r="53" spans="1:5" s="33" customFormat="1" ht="15.75" customHeight="1" x14ac:dyDescent="0.25">
      <c r="A53" s="52" t="s">
        <v>207</v>
      </c>
      <c r="B53" s="174" t="s">
        <v>150</v>
      </c>
      <c r="C53" s="64"/>
      <c r="D53" s="64"/>
      <c r="E53" s="86">
        <f>E49</f>
        <v>809.14</v>
      </c>
    </row>
    <row r="54" spans="1:5" s="33" customFormat="1" ht="15.75" customHeight="1" x14ac:dyDescent="0.25">
      <c r="A54" s="394" t="s">
        <v>154</v>
      </c>
      <c r="B54" s="395"/>
      <c r="C54" s="395"/>
      <c r="D54" s="396"/>
      <c r="E54" s="80">
        <f>SUM(E51:E53)</f>
        <v>2299.33</v>
      </c>
    </row>
    <row r="55" spans="1:5" s="33" customFormat="1" ht="15.75" customHeight="1" x14ac:dyDescent="0.25">
      <c r="A55" s="313" t="s">
        <v>163</v>
      </c>
      <c r="B55" s="314"/>
      <c r="C55" s="314"/>
      <c r="D55" s="314"/>
      <c r="E55" s="315"/>
    </row>
    <row r="56" spans="1:5" s="33" customFormat="1" ht="30" customHeight="1" x14ac:dyDescent="0.25">
      <c r="A56" s="249" t="s">
        <v>224</v>
      </c>
      <c r="B56" s="188" t="s">
        <v>34</v>
      </c>
      <c r="C56" s="128" t="s">
        <v>203</v>
      </c>
      <c r="D56" s="68"/>
      <c r="E56" s="82" t="s">
        <v>10</v>
      </c>
    </row>
    <row r="57" spans="1:5" s="33" customFormat="1" ht="15.75" customHeight="1" x14ac:dyDescent="0.25">
      <c r="A57" s="55" t="s">
        <v>0</v>
      </c>
      <c r="B57" s="56" t="s">
        <v>35</v>
      </c>
      <c r="C57" s="44">
        <f>E$25</f>
        <v>2350.6799999999998</v>
      </c>
      <c r="D57" s="255">
        <v>4.5999999999999999E-3</v>
      </c>
      <c r="E57" s="74">
        <f>C57*D57</f>
        <v>10.81</v>
      </c>
    </row>
    <row r="58" spans="1:5" s="33" customFormat="1" ht="15.75" customHeight="1" x14ac:dyDescent="0.25">
      <c r="A58" s="55" t="s">
        <v>2</v>
      </c>
      <c r="B58" s="56" t="s">
        <v>36</v>
      </c>
      <c r="C58" s="44">
        <f t="shared" ref="C58:C61" si="2">E$25</f>
        <v>2350.6799999999998</v>
      </c>
      <c r="D58" s="255">
        <v>4.0000000000000002E-4</v>
      </c>
      <c r="E58" s="74">
        <f>C58*D58</f>
        <v>0.94</v>
      </c>
    </row>
    <row r="59" spans="1:5" s="33" customFormat="1" ht="15.75" customHeight="1" x14ac:dyDescent="0.25">
      <c r="A59" s="55" t="s">
        <v>3</v>
      </c>
      <c r="B59" s="56" t="s">
        <v>37</v>
      </c>
      <c r="C59" s="44">
        <f t="shared" si="2"/>
        <v>2350.6799999999998</v>
      </c>
      <c r="D59" s="255">
        <v>1.9400000000000001E-2</v>
      </c>
      <c r="E59" s="74">
        <f>C59*D59</f>
        <v>45.6</v>
      </c>
    </row>
    <row r="60" spans="1:5" s="33" customFormat="1" ht="30" customHeight="1" x14ac:dyDescent="0.25">
      <c r="A60" s="55" t="s">
        <v>5</v>
      </c>
      <c r="B60" s="90" t="s">
        <v>371</v>
      </c>
      <c r="C60" s="44">
        <f t="shared" si="2"/>
        <v>2350.6799999999998</v>
      </c>
      <c r="D60" s="255">
        <v>7.7000000000000002E-3</v>
      </c>
      <c r="E60" s="74">
        <f>C60*D60</f>
        <v>18.100000000000001</v>
      </c>
    </row>
    <row r="61" spans="1:5" s="33" customFormat="1" ht="30" customHeight="1" x14ac:dyDescent="0.25">
      <c r="A61" s="55" t="s">
        <v>22</v>
      </c>
      <c r="B61" s="56" t="s">
        <v>192</v>
      </c>
      <c r="C61" s="44">
        <f t="shared" si="2"/>
        <v>2350.6799999999998</v>
      </c>
      <c r="D61" s="255">
        <v>0.04</v>
      </c>
      <c r="E61" s="74">
        <f>C61*D61</f>
        <v>94.03</v>
      </c>
    </row>
    <row r="62" spans="1:5" s="33" customFormat="1" x14ac:dyDescent="0.25">
      <c r="A62" s="364" t="s">
        <v>155</v>
      </c>
      <c r="B62" s="365"/>
      <c r="C62" s="365"/>
      <c r="D62" s="103">
        <f>SUM(D57:D61)</f>
        <v>7.2099999999999997E-2</v>
      </c>
      <c r="E62" s="100">
        <f>SUM(E57:E61)</f>
        <v>169.48</v>
      </c>
    </row>
    <row r="63" spans="1:5" s="33" customFormat="1" ht="15.75" customHeight="1" x14ac:dyDescent="0.25">
      <c r="A63" s="313" t="s">
        <v>164</v>
      </c>
      <c r="B63" s="314"/>
      <c r="C63" s="314"/>
      <c r="D63" s="314"/>
      <c r="E63" s="315"/>
    </row>
    <row r="64" spans="1:5" s="33" customFormat="1" x14ac:dyDescent="0.25">
      <c r="A64" s="249" t="s">
        <v>28</v>
      </c>
      <c r="B64" s="65" t="s">
        <v>225</v>
      </c>
      <c r="C64" s="128" t="s">
        <v>203</v>
      </c>
      <c r="D64" s="87"/>
      <c r="E64" s="82" t="s">
        <v>10</v>
      </c>
    </row>
    <row r="65" spans="1:5" s="33" customFormat="1" x14ac:dyDescent="0.25">
      <c r="A65" s="55" t="s">
        <v>0</v>
      </c>
      <c r="B65" s="56" t="s">
        <v>193</v>
      </c>
      <c r="C65" s="47">
        <f>E$25+E$54+E$62+E85</f>
        <v>4857.87</v>
      </c>
      <c r="D65" s="255">
        <f>D29/12</f>
        <v>9.2999999999999992E-3</v>
      </c>
      <c r="E65" s="74">
        <f>C65*D65</f>
        <v>45.18</v>
      </c>
    </row>
    <row r="66" spans="1:5" s="33" customFormat="1" x14ac:dyDescent="0.25">
      <c r="A66" s="55" t="s">
        <v>2</v>
      </c>
      <c r="B66" s="56" t="s">
        <v>194</v>
      </c>
      <c r="C66" s="47">
        <f>E$25+E$54+E$62+E85</f>
        <v>4857.87</v>
      </c>
      <c r="D66" s="255">
        <v>1.3899999999999999E-2</v>
      </c>
      <c r="E66" s="74">
        <f t="shared" ref="E66:E71" si="3">C66*D66</f>
        <v>67.52</v>
      </c>
    </row>
    <row r="67" spans="1:5" s="33" customFormat="1" x14ac:dyDescent="0.25">
      <c r="A67" s="55" t="s">
        <v>3</v>
      </c>
      <c r="B67" s="56" t="s">
        <v>197</v>
      </c>
      <c r="C67" s="47">
        <f>E$25+E$54+E$62+E85</f>
        <v>4857.87</v>
      </c>
      <c r="D67" s="255">
        <v>1.2999999999999999E-3</v>
      </c>
      <c r="E67" s="74">
        <f t="shared" si="3"/>
        <v>6.32</v>
      </c>
    </row>
    <row r="68" spans="1:5" s="33" customFormat="1" x14ac:dyDescent="0.25">
      <c r="A68" s="55" t="s">
        <v>5</v>
      </c>
      <c r="B68" s="56" t="s">
        <v>195</v>
      </c>
      <c r="C68" s="47">
        <f>E$25+E$54+E$62+E85</f>
        <v>4857.87</v>
      </c>
      <c r="D68" s="255">
        <v>2.0000000000000001E-4</v>
      </c>
      <c r="E68" s="74">
        <f t="shared" si="3"/>
        <v>0.97</v>
      </c>
    </row>
    <row r="69" spans="1:5" s="33" customFormat="1" x14ac:dyDescent="0.25">
      <c r="A69" s="55" t="s">
        <v>22</v>
      </c>
      <c r="B69" s="56" t="s">
        <v>362</v>
      </c>
      <c r="C69" s="47">
        <f>E$25+E$54+E$62+E85</f>
        <v>4857.87</v>
      </c>
      <c r="D69" s="255">
        <v>2.8E-3</v>
      </c>
      <c r="E69" s="74">
        <f t="shared" si="3"/>
        <v>13.6</v>
      </c>
    </row>
    <row r="70" spans="1:5" s="33" customFormat="1" x14ac:dyDescent="0.25">
      <c r="A70" s="55" t="s">
        <v>24</v>
      </c>
      <c r="B70" s="56" t="s">
        <v>196</v>
      </c>
      <c r="C70" s="47">
        <f>E$25+E$54+E$62+E85</f>
        <v>4857.87</v>
      </c>
      <c r="D70" s="255">
        <v>2.9999999999999997E-4</v>
      </c>
      <c r="E70" s="74">
        <f t="shared" ref="E70" si="4">C70*D70</f>
        <v>1.46</v>
      </c>
    </row>
    <row r="71" spans="1:5" s="33" customFormat="1" x14ac:dyDescent="0.25">
      <c r="A71" s="55" t="s">
        <v>25</v>
      </c>
      <c r="B71" s="91" t="s">
        <v>198</v>
      </c>
      <c r="C71" s="47">
        <f>E$25+E$54+E$62+E85</f>
        <v>4857.87</v>
      </c>
      <c r="D71" s="59">
        <v>0</v>
      </c>
      <c r="E71" s="74">
        <f t="shared" si="3"/>
        <v>0</v>
      </c>
    </row>
    <row r="72" spans="1:5" s="33" customFormat="1" ht="15.75" customHeight="1" x14ac:dyDescent="0.25">
      <c r="A72" s="310" t="s">
        <v>199</v>
      </c>
      <c r="B72" s="311"/>
      <c r="C72" s="312"/>
      <c r="D72" s="88">
        <f>SUM(D65:D71)</f>
        <v>2.7799999999999998E-2</v>
      </c>
      <c r="E72" s="75">
        <f>SUM(E65:E71)</f>
        <v>135.05000000000001</v>
      </c>
    </row>
    <row r="73" spans="1:5" s="33" customFormat="1" ht="15.75" customHeight="1" x14ac:dyDescent="0.25">
      <c r="A73" s="321" t="s">
        <v>200</v>
      </c>
      <c r="B73" s="322"/>
      <c r="C73" s="322"/>
      <c r="D73" s="322"/>
      <c r="E73" s="323"/>
    </row>
    <row r="74" spans="1:5" s="33" customFormat="1" x14ac:dyDescent="0.25">
      <c r="A74" s="249"/>
      <c r="B74" s="54" t="s">
        <v>200</v>
      </c>
      <c r="C74" s="90"/>
      <c r="D74" s="90"/>
      <c r="E74" s="82" t="s">
        <v>10</v>
      </c>
    </row>
    <row r="75" spans="1:5" s="33" customFormat="1" ht="15.75" customHeight="1" x14ac:dyDescent="0.25">
      <c r="A75" s="55" t="s">
        <v>0</v>
      </c>
      <c r="B75" s="67" t="s">
        <v>201</v>
      </c>
      <c r="C75" s="45"/>
      <c r="D75" s="59">
        <v>0</v>
      </c>
      <c r="E75" s="74">
        <f>(E$25+E$54+E$62)*D75</f>
        <v>0</v>
      </c>
    </row>
    <row r="76" spans="1:5" s="33" customFormat="1" ht="15.75" customHeight="1" x14ac:dyDescent="0.25">
      <c r="A76" s="310" t="s">
        <v>202</v>
      </c>
      <c r="B76" s="311"/>
      <c r="C76" s="312"/>
      <c r="D76" s="76">
        <f>SUM(D75:D75)</f>
        <v>0</v>
      </c>
      <c r="E76" s="75">
        <f>SUM(E75:E75)</f>
        <v>0</v>
      </c>
    </row>
    <row r="77" spans="1:5" s="33" customFormat="1" ht="15.75" customHeight="1" x14ac:dyDescent="0.25">
      <c r="A77" s="316" t="s">
        <v>226</v>
      </c>
      <c r="B77" s="317"/>
      <c r="C77" s="317"/>
      <c r="D77" s="317"/>
      <c r="E77" s="318"/>
    </row>
    <row r="78" spans="1:5" s="33" customFormat="1" ht="15.75" customHeight="1" x14ac:dyDescent="0.25">
      <c r="A78" s="249">
        <v>4</v>
      </c>
      <c r="B78" s="98" t="s">
        <v>227</v>
      </c>
      <c r="C78" s="175"/>
      <c r="D78" s="99"/>
      <c r="E78" s="82" t="s">
        <v>10</v>
      </c>
    </row>
    <row r="79" spans="1:5" s="33" customFormat="1" ht="15.75" customHeight="1" x14ac:dyDescent="0.25">
      <c r="A79" s="55" t="s">
        <v>28</v>
      </c>
      <c r="B79" s="56" t="s">
        <v>225</v>
      </c>
      <c r="C79" s="175"/>
      <c r="D79" s="59">
        <f>D72</f>
        <v>2.7799999999999998E-2</v>
      </c>
      <c r="E79" s="74">
        <f>E72</f>
        <v>135.05000000000001</v>
      </c>
    </row>
    <row r="80" spans="1:5" s="33" customFormat="1" ht="15.75" customHeight="1" x14ac:dyDescent="0.25">
      <c r="A80" s="55" t="s">
        <v>32</v>
      </c>
      <c r="B80" s="56" t="s">
        <v>200</v>
      </c>
      <c r="C80" s="175"/>
      <c r="D80" s="59">
        <v>0</v>
      </c>
      <c r="E80" s="74">
        <f>(D$25+D$53+D$61)*D80</f>
        <v>0</v>
      </c>
    </row>
    <row r="81" spans="1:5" s="33" customFormat="1" ht="15.75" customHeight="1" x14ac:dyDescent="0.25">
      <c r="A81" s="310" t="s">
        <v>31</v>
      </c>
      <c r="B81" s="311"/>
      <c r="C81" s="312"/>
      <c r="D81" s="76">
        <f>SUM(D79:D80)</f>
        <v>2.7799999999999998E-2</v>
      </c>
      <c r="E81" s="75">
        <f>SUM(E79:E80)</f>
        <v>135.05000000000001</v>
      </c>
    </row>
    <row r="82" spans="1:5" s="33" customFormat="1" ht="15.75" customHeight="1" x14ac:dyDescent="0.25">
      <c r="A82" s="394" t="s">
        <v>156</v>
      </c>
      <c r="B82" s="395"/>
      <c r="C82" s="395"/>
      <c r="D82" s="396"/>
      <c r="E82" s="89">
        <f>SUM(E72+E76)</f>
        <v>135.05000000000001</v>
      </c>
    </row>
    <row r="83" spans="1:5" s="33" customFormat="1" ht="15.75" customHeight="1" x14ac:dyDescent="0.25">
      <c r="A83" s="313" t="s">
        <v>165</v>
      </c>
      <c r="B83" s="314"/>
      <c r="C83" s="314"/>
      <c r="D83" s="314"/>
      <c r="E83" s="315"/>
    </row>
    <row r="84" spans="1:5" s="33" customFormat="1" ht="15.75" customHeight="1" x14ac:dyDescent="0.25">
      <c r="A84" s="249">
        <v>5</v>
      </c>
      <c r="B84" s="188" t="s">
        <v>27</v>
      </c>
      <c r="C84" s="90"/>
      <c r="D84" s="90"/>
      <c r="E84" s="82" t="s">
        <v>10</v>
      </c>
    </row>
    <row r="85" spans="1:5" s="33" customFormat="1" ht="15.75" customHeight="1" x14ac:dyDescent="0.25">
      <c r="A85" s="187" t="s">
        <v>0</v>
      </c>
      <c r="B85" s="177" t="s">
        <v>266</v>
      </c>
      <c r="C85" s="66"/>
      <c r="D85" s="63"/>
      <c r="E85" s="74">
        <f>'Uniformes e EPI''s'!G10</f>
        <v>38.380000000000003</v>
      </c>
    </row>
    <row r="86" spans="1:5" s="33" customFormat="1" ht="15.75" customHeight="1" x14ac:dyDescent="0.25">
      <c r="A86" s="187" t="s">
        <v>2</v>
      </c>
      <c r="B86" s="177" t="s">
        <v>356</v>
      </c>
      <c r="C86" s="66"/>
      <c r="D86" s="63"/>
      <c r="E86" s="74">
        <f>Insumos!H29</f>
        <v>1942.6</v>
      </c>
    </row>
    <row r="87" spans="1:5" s="33" customFormat="1" ht="15.75" customHeight="1" x14ac:dyDescent="0.25">
      <c r="A87" s="187" t="s">
        <v>3</v>
      </c>
      <c r="B87" s="177" t="s">
        <v>209</v>
      </c>
      <c r="C87" s="66"/>
      <c r="D87" s="63"/>
      <c r="E87" s="74">
        <f>Equipamentos!H38</f>
        <v>51.53</v>
      </c>
    </row>
    <row r="88" spans="1:5" s="33" customFormat="1" ht="15.75" customHeight="1" x14ac:dyDescent="0.25">
      <c r="A88" s="187" t="s">
        <v>5</v>
      </c>
      <c r="B88" s="177" t="s">
        <v>130</v>
      </c>
      <c r="C88" s="66"/>
      <c r="D88" s="63"/>
      <c r="E88" s="74">
        <v>0</v>
      </c>
    </row>
    <row r="89" spans="1:5" s="33" customFormat="1" ht="15.75" customHeight="1" x14ac:dyDescent="0.25">
      <c r="A89" s="364" t="s">
        <v>157</v>
      </c>
      <c r="B89" s="365"/>
      <c r="C89" s="365"/>
      <c r="D89" s="366"/>
      <c r="E89" s="80">
        <f>SUM(E85:E88)</f>
        <v>2032.51</v>
      </c>
    </row>
    <row r="90" spans="1:5" s="33" customFormat="1" ht="23.25" customHeight="1" x14ac:dyDescent="0.25">
      <c r="A90" s="391" t="s">
        <v>228</v>
      </c>
      <c r="B90" s="392"/>
      <c r="C90" s="392"/>
      <c r="D90" s="393"/>
      <c r="E90" s="97">
        <f>E89+E82+E62+E54+E25</f>
        <v>6987.05</v>
      </c>
    </row>
    <row r="91" spans="1:5" s="33" customFormat="1" ht="19.5" customHeight="1" x14ac:dyDescent="0.25">
      <c r="A91" s="313" t="s">
        <v>166</v>
      </c>
      <c r="B91" s="314"/>
      <c r="C91" s="314"/>
      <c r="D91" s="314"/>
      <c r="E91" s="315"/>
    </row>
    <row r="92" spans="1:5" s="33" customFormat="1" ht="15.75" customHeight="1" x14ac:dyDescent="0.25">
      <c r="A92" s="249">
        <v>6</v>
      </c>
      <c r="B92" s="188" t="s">
        <v>38</v>
      </c>
      <c r="C92" s="43" t="s">
        <v>203</v>
      </c>
      <c r="D92" s="43"/>
      <c r="E92" s="82" t="s">
        <v>10</v>
      </c>
    </row>
    <row r="93" spans="1:5" s="33" customFormat="1" ht="15.75" customHeight="1" x14ac:dyDescent="0.25">
      <c r="A93" s="55" t="s">
        <v>0</v>
      </c>
      <c r="B93" s="56" t="s">
        <v>39</v>
      </c>
      <c r="C93" s="92">
        <f>E90</f>
        <v>6987.05</v>
      </c>
      <c r="D93" s="59">
        <v>0.05</v>
      </c>
      <c r="E93" s="74">
        <f>C93*D93</f>
        <v>349.35</v>
      </c>
    </row>
    <row r="94" spans="1:5" s="33" customFormat="1" ht="15.75" customHeight="1" x14ac:dyDescent="0.25">
      <c r="A94" s="55" t="s">
        <v>2</v>
      </c>
      <c r="B94" s="56" t="s">
        <v>40</v>
      </c>
      <c r="C94" s="92">
        <f>E90+E93</f>
        <v>7336.4</v>
      </c>
      <c r="D94" s="59">
        <v>0.1</v>
      </c>
      <c r="E94" s="74">
        <f>D94*C94</f>
        <v>733.64</v>
      </c>
    </row>
    <row r="95" spans="1:5" s="33" customFormat="1" ht="30" customHeight="1" x14ac:dyDescent="0.25">
      <c r="A95" s="55"/>
      <c r="B95" s="56" t="s">
        <v>229</v>
      </c>
      <c r="C95" s="56"/>
      <c r="D95" s="59">
        <f>1-D102</f>
        <v>0.85750000000000004</v>
      </c>
      <c r="E95" s="74">
        <f>+E90+E93+E94</f>
        <v>8070.04</v>
      </c>
    </row>
    <row r="96" spans="1:5" s="33" customFormat="1" ht="15.75" customHeight="1" x14ac:dyDescent="0.25">
      <c r="A96" s="55"/>
      <c r="B96" s="56"/>
      <c r="C96" s="58"/>
      <c r="D96" s="46"/>
      <c r="E96" s="101">
        <f>+E95/D95</f>
        <v>9411.1299999999992</v>
      </c>
    </row>
    <row r="97" spans="1:5" s="33" customFormat="1" ht="15.75" customHeight="1" x14ac:dyDescent="0.25">
      <c r="A97" s="55" t="s">
        <v>3</v>
      </c>
      <c r="B97" s="91" t="s">
        <v>41</v>
      </c>
      <c r="C97" s="58"/>
      <c r="D97" s="256">
        <f>D99+D100+D101</f>
        <v>0.14249999999999999</v>
      </c>
      <c r="E97" s="101"/>
    </row>
    <row r="98" spans="1:5" s="33" customFormat="1" ht="15.75" customHeight="1" x14ac:dyDescent="0.25">
      <c r="A98" s="55" t="s">
        <v>366</v>
      </c>
      <c r="B98" s="91" t="s">
        <v>363</v>
      </c>
      <c r="C98" s="91"/>
      <c r="D98" s="256">
        <f>D99+D100</f>
        <v>9.2499999999999999E-2</v>
      </c>
      <c r="E98" s="74"/>
    </row>
    <row r="99" spans="1:5" s="33" customFormat="1" ht="15.75" customHeight="1" x14ac:dyDescent="0.25">
      <c r="A99" s="55" t="s">
        <v>370</v>
      </c>
      <c r="B99" s="56" t="s">
        <v>369</v>
      </c>
      <c r="C99" s="70">
        <f>E96</f>
        <v>9411.1299999999992</v>
      </c>
      <c r="D99" s="255">
        <v>1.6500000000000001E-2</v>
      </c>
      <c r="E99" s="74">
        <f>C99*D99</f>
        <v>155.28</v>
      </c>
    </row>
    <row r="100" spans="1:5" s="33" customFormat="1" ht="15.75" customHeight="1" x14ac:dyDescent="0.25">
      <c r="A100" s="55" t="s">
        <v>367</v>
      </c>
      <c r="B100" s="56" t="s">
        <v>364</v>
      </c>
      <c r="C100" s="70">
        <f>E96</f>
        <v>9411.1299999999992</v>
      </c>
      <c r="D100" s="255">
        <v>7.5999999999999998E-2</v>
      </c>
      <c r="E100" s="74">
        <f>C100*D100</f>
        <v>715.25</v>
      </c>
    </row>
    <row r="101" spans="1:5" s="33" customFormat="1" ht="15.75" customHeight="1" x14ac:dyDescent="0.25">
      <c r="A101" s="55" t="s">
        <v>368</v>
      </c>
      <c r="B101" s="56" t="s">
        <v>365</v>
      </c>
      <c r="C101" s="70">
        <f>E96</f>
        <v>9411.1299999999992</v>
      </c>
      <c r="D101" s="255">
        <v>0.05</v>
      </c>
      <c r="E101" s="74">
        <f>C101*D101</f>
        <v>470.56</v>
      </c>
    </row>
    <row r="102" spans="1:5" s="33" customFormat="1" ht="15.75" customHeight="1" x14ac:dyDescent="0.25">
      <c r="A102" s="249"/>
      <c r="B102" s="175" t="s">
        <v>42</v>
      </c>
      <c r="C102" s="175"/>
      <c r="D102" s="250">
        <f>D97</f>
        <v>0.14249999999999999</v>
      </c>
      <c r="E102" s="74">
        <f>SUM(E99:E101)</f>
        <v>1341.09</v>
      </c>
    </row>
    <row r="103" spans="1:5" s="33" customFormat="1" ht="15.75" customHeight="1" x14ac:dyDescent="0.25">
      <c r="A103" s="376" t="s">
        <v>43</v>
      </c>
      <c r="B103" s="377"/>
      <c r="C103" s="377"/>
      <c r="D103" s="378"/>
      <c r="E103" s="93">
        <f>+E93+E94+E102</f>
        <v>2424.08</v>
      </c>
    </row>
    <row r="104" spans="1:5" s="33" customFormat="1" ht="15.75" customHeight="1" x14ac:dyDescent="0.25">
      <c r="A104" s="379" t="s">
        <v>44</v>
      </c>
      <c r="B104" s="380"/>
      <c r="C104" s="380"/>
      <c r="D104" s="381"/>
      <c r="E104" s="94" t="s">
        <v>10</v>
      </c>
    </row>
    <row r="105" spans="1:5" s="33" customFormat="1" x14ac:dyDescent="0.25">
      <c r="A105" s="55" t="s">
        <v>0</v>
      </c>
      <c r="B105" s="382" t="s">
        <v>45</v>
      </c>
      <c r="C105" s="383"/>
      <c r="D105" s="384"/>
      <c r="E105" s="74">
        <f>+E25</f>
        <v>2350.6799999999998</v>
      </c>
    </row>
    <row r="106" spans="1:5" s="33" customFormat="1" x14ac:dyDescent="0.25">
      <c r="A106" s="55" t="s">
        <v>2</v>
      </c>
      <c r="B106" s="382" t="s">
        <v>160</v>
      </c>
      <c r="C106" s="383"/>
      <c r="D106" s="384"/>
      <c r="E106" s="74">
        <f>+E54</f>
        <v>2299.33</v>
      </c>
    </row>
    <row r="107" spans="1:5" s="33" customFormat="1" x14ac:dyDescent="0.25">
      <c r="A107" s="55" t="s">
        <v>3</v>
      </c>
      <c r="B107" s="382" t="s">
        <v>158</v>
      </c>
      <c r="C107" s="383"/>
      <c r="D107" s="384"/>
      <c r="E107" s="74">
        <f>E62</f>
        <v>169.48</v>
      </c>
    </row>
    <row r="108" spans="1:5" s="33" customFormat="1" x14ac:dyDescent="0.25">
      <c r="A108" s="55" t="s">
        <v>5</v>
      </c>
      <c r="B108" s="382" t="s">
        <v>151</v>
      </c>
      <c r="C108" s="383"/>
      <c r="D108" s="384"/>
      <c r="E108" s="74">
        <f>E82</f>
        <v>135.05000000000001</v>
      </c>
    </row>
    <row r="109" spans="1:5" s="33" customFormat="1" x14ac:dyDescent="0.25">
      <c r="A109" s="55" t="s">
        <v>22</v>
      </c>
      <c r="B109" s="382" t="s">
        <v>159</v>
      </c>
      <c r="C109" s="383"/>
      <c r="D109" s="384"/>
      <c r="E109" s="74">
        <f>E89</f>
        <v>2032.51</v>
      </c>
    </row>
    <row r="110" spans="1:5" s="33" customFormat="1" ht="15.75" customHeight="1" x14ac:dyDescent="0.25">
      <c r="A110" s="385" t="s">
        <v>161</v>
      </c>
      <c r="B110" s="386"/>
      <c r="C110" s="386"/>
      <c r="D110" s="387"/>
      <c r="E110" s="95">
        <f>SUM(E105:E109)</f>
        <v>6987.05</v>
      </c>
    </row>
    <row r="111" spans="1:5" s="33" customFormat="1" x14ac:dyDescent="0.25">
      <c r="A111" s="55" t="s">
        <v>24</v>
      </c>
      <c r="B111" s="382" t="s">
        <v>162</v>
      </c>
      <c r="C111" s="383"/>
      <c r="D111" s="384"/>
      <c r="E111" s="74">
        <f>+E103</f>
        <v>2424.08</v>
      </c>
    </row>
    <row r="112" spans="1:5" s="33" customFormat="1" ht="16.5" customHeight="1" thickBot="1" x14ac:dyDescent="0.3">
      <c r="A112" s="388" t="s">
        <v>46</v>
      </c>
      <c r="B112" s="389"/>
      <c r="C112" s="389"/>
      <c r="D112" s="390"/>
      <c r="E112" s="96">
        <f>+E110+E111</f>
        <v>9411.1299999999992</v>
      </c>
    </row>
    <row r="113" spans="2:5" x14ac:dyDescent="0.25">
      <c r="D113" s="34"/>
      <c r="E113" s="36"/>
    </row>
    <row r="114" spans="2:5" x14ac:dyDescent="0.25">
      <c r="B114" s="31"/>
      <c r="C114" s="31"/>
      <c r="D114" s="34"/>
      <c r="E114" s="37"/>
    </row>
    <row r="115" spans="2:5" x14ac:dyDescent="0.25">
      <c r="B115" s="31"/>
      <c r="C115" s="31"/>
      <c r="D115" s="34"/>
      <c r="E115" s="37" t="s">
        <v>125</v>
      </c>
    </row>
    <row r="116" spans="2:5" x14ac:dyDescent="0.25">
      <c r="B116" s="31"/>
      <c r="C116" s="375"/>
      <c r="D116" s="375"/>
      <c r="E116" s="375"/>
    </row>
    <row r="117" spans="2:5" x14ac:dyDescent="0.25">
      <c r="B117" s="31"/>
      <c r="C117" s="31"/>
      <c r="D117" s="34"/>
      <c r="E117" s="38"/>
    </row>
    <row r="119" spans="2:5" x14ac:dyDescent="0.25">
      <c r="B119" s="39"/>
    </row>
    <row r="124" spans="2:5" x14ac:dyDescent="0.25">
      <c r="B124" s="31"/>
      <c r="C124" s="31"/>
    </row>
  </sheetData>
  <mergeCells count="57">
    <mergeCell ref="A91:E91"/>
    <mergeCell ref="A90:D90"/>
    <mergeCell ref="A54:D54"/>
    <mergeCell ref="A55:E55"/>
    <mergeCell ref="A62:C62"/>
    <mergeCell ref="A82:D82"/>
    <mergeCell ref="A89:D89"/>
    <mergeCell ref="A73:E73"/>
    <mergeCell ref="A76:C76"/>
    <mergeCell ref="A83:E83"/>
    <mergeCell ref="C116:E116"/>
    <mergeCell ref="A103:D103"/>
    <mergeCell ref="A104:D104"/>
    <mergeCell ref="B107:D107"/>
    <mergeCell ref="B111:D111"/>
    <mergeCell ref="B105:D105"/>
    <mergeCell ref="B106:D106"/>
    <mergeCell ref="A110:D110"/>
    <mergeCell ref="B108:D108"/>
    <mergeCell ref="B109:D109"/>
    <mergeCell ref="A112:D112"/>
    <mergeCell ref="A25:D25"/>
    <mergeCell ref="B17:D17"/>
    <mergeCell ref="A10:E10"/>
    <mergeCell ref="C18:D18"/>
    <mergeCell ref="C19:D19"/>
    <mergeCell ref="A1:E1"/>
    <mergeCell ref="A16:E16"/>
    <mergeCell ref="C7:E7"/>
    <mergeCell ref="A8:E8"/>
    <mergeCell ref="A9:E9"/>
    <mergeCell ref="C14:E14"/>
    <mergeCell ref="A11:D11"/>
    <mergeCell ref="C12:E12"/>
    <mergeCell ref="C15:E15"/>
    <mergeCell ref="C13:E13"/>
    <mergeCell ref="A2:E2"/>
    <mergeCell ref="C4:E4"/>
    <mergeCell ref="C5:E5"/>
    <mergeCell ref="C6:E6"/>
    <mergeCell ref="A3:E3"/>
    <mergeCell ref="A41:C41"/>
    <mergeCell ref="A63:E63"/>
    <mergeCell ref="A77:E77"/>
    <mergeCell ref="A81:C81"/>
    <mergeCell ref="C20:D20"/>
    <mergeCell ref="A26:E26"/>
    <mergeCell ref="A42:E42"/>
    <mergeCell ref="C24:D24"/>
    <mergeCell ref="A31:E31"/>
    <mergeCell ref="A49:D49"/>
    <mergeCell ref="A72:C72"/>
    <mergeCell ref="A50:E50"/>
    <mergeCell ref="A30:C30"/>
    <mergeCell ref="C21:D21"/>
    <mergeCell ref="C22:D22"/>
    <mergeCell ref="C23:D23"/>
  </mergeCells>
  <hyperlinks>
    <hyperlink ref="B38" r:id="rId1" display="08 - Sebrae 0,3% ou 0,6% - IN nº 03, MPS/SRP/2005, Anexo II e III ver código da Tabela" xr:uid="{00000000-0004-0000-0400-000000000000}"/>
  </hyperlinks>
  <printOptions horizontalCentered="1"/>
  <pageMargins left="0.31496062992125984" right="0.31496062992125984" top="0.35433070866141736" bottom="1.1811023622047245" header="3.937007874015748E-2" footer="0.31496062992125984"/>
  <pageSetup paperSize="9" scale="38" orientation="portrait" r:id="rId2"/>
  <headerFooter differentFirst="1">
    <firstFooter>&amp;R&amp;G</firstFooter>
  </headerFooter>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30"/>
  <sheetViews>
    <sheetView view="pageBreakPreview" zoomScaleSheetLayoutView="100" workbookViewId="0">
      <selection activeCell="B39" sqref="B39"/>
    </sheetView>
  </sheetViews>
  <sheetFormatPr defaultRowHeight="15" x14ac:dyDescent="0.25"/>
  <cols>
    <col min="1" max="1" width="8.7109375" customWidth="1"/>
    <col min="2" max="2" width="40.7109375" customWidth="1"/>
    <col min="3" max="3" width="20.7109375" customWidth="1"/>
    <col min="4" max="7" width="12.7109375" customWidth="1"/>
  </cols>
  <sheetData>
    <row r="1" spans="1:7" ht="15" customHeight="1" thickBot="1" x14ac:dyDescent="0.3">
      <c r="A1" s="409" t="s">
        <v>180</v>
      </c>
      <c r="B1" s="410"/>
      <c r="C1" s="410"/>
      <c r="D1" s="410"/>
      <c r="E1" s="410"/>
      <c r="F1" s="410"/>
      <c r="G1" s="411"/>
    </row>
    <row r="2" spans="1:7" ht="15" customHeight="1" thickBot="1" x14ac:dyDescent="0.3">
      <c r="A2" s="415"/>
      <c r="B2" s="416"/>
      <c r="C2" s="416"/>
      <c r="D2" s="416"/>
      <c r="E2" s="416"/>
      <c r="F2" s="416"/>
      <c r="G2" s="417"/>
    </row>
    <row r="3" spans="1:7" ht="15" customHeight="1" x14ac:dyDescent="0.25">
      <c r="A3" s="412" t="s">
        <v>268</v>
      </c>
      <c r="B3" s="413"/>
      <c r="C3" s="413"/>
      <c r="D3" s="413"/>
      <c r="E3" s="413"/>
      <c r="F3" s="413"/>
      <c r="G3" s="414"/>
    </row>
    <row r="4" spans="1:7" ht="30" customHeight="1" x14ac:dyDescent="0.25">
      <c r="A4" s="165" t="s">
        <v>181</v>
      </c>
      <c r="B4" s="166" t="s">
        <v>182</v>
      </c>
      <c r="C4" s="166" t="s">
        <v>183</v>
      </c>
      <c r="D4" s="166" t="s">
        <v>184</v>
      </c>
      <c r="E4" s="166" t="s">
        <v>185</v>
      </c>
      <c r="F4" s="166" t="s">
        <v>204</v>
      </c>
      <c r="G4" s="167" t="s">
        <v>205</v>
      </c>
    </row>
    <row r="5" spans="1:7" ht="15" customHeight="1" x14ac:dyDescent="0.25">
      <c r="A5" s="48">
        <v>1</v>
      </c>
      <c r="B5" s="227" t="s">
        <v>206</v>
      </c>
      <c r="C5" s="228" t="s">
        <v>183</v>
      </c>
      <c r="D5" s="228">
        <v>4</v>
      </c>
      <c r="E5" s="168">
        <v>50.9</v>
      </c>
      <c r="F5" s="168">
        <f>E5*D5</f>
        <v>203.6</v>
      </c>
      <c r="G5" s="169">
        <f>F5/12</f>
        <v>16.97</v>
      </c>
    </row>
    <row r="6" spans="1:7" ht="15" customHeight="1" x14ac:dyDescent="0.25">
      <c r="A6" s="48">
        <v>2</v>
      </c>
      <c r="B6" s="228" t="s">
        <v>210</v>
      </c>
      <c r="C6" s="228" t="s">
        <v>183</v>
      </c>
      <c r="D6" s="228">
        <v>4</v>
      </c>
      <c r="E6" s="168">
        <v>41.83</v>
      </c>
      <c r="F6" s="168">
        <f>E6*D6</f>
        <v>167.32</v>
      </c>
      <c r="G6" s="169">
        <f>F6/12</f>
        <v>13.94</v>
      </c>
    </row>
    <row r="7" spans="1:7" ht="15" customHeight="1" x14ac:dyDescent="0.25">
      <c r="A7" s="48">
        <v>3</v>
      </c>
      <c r="B7" s="227" t="s">
        <v>211</v>
      </c>
      <c r="C7" s="228" t="s">
        <v>186</v>
      </c>
      <c r="D7" s="228">
        <v>2</v>
      </c>
      <c r="E7" s="168">
        <v>43.87</v>
      </c>
      <c r="F7" s="168">
        <f>E7*D7</f>
        <v>87.74</v>
      </c>
      <c r="G7" s="169">
        <f>F7/12</f>
        <v>7.31</v>
      </c>
    </row>
    <row r="8" spans="1:7" ht="15" customHeight="1" thickBot="1" x14ac:dyDescent="0.3">
      <c r="A8" s="170">
        <v>4</v>
      </c>
      <c r="B8" s="159" t="s">
        <v>191</v>
      </c>
      <c r="C8" s="171" t="s">
        <v>186</v>
      </c>
      <c r="D8" s="171">
        <v>1</v>
      </c>
      <c r="E8" s="172">
        <v>1.95</v>
      </c>
      <c r="F8" s="172">
        <f>E8*D8</f>
        <v>1.95</v>
      </c>
      <c r="G8" s="173">
        <f>F8/12</f>
        <v>0.16</v>
      </c>
    </row>
    <row r="9" spans="1:7" ht="15" customHeight="1" thickBot="1" x14ac:dyDescent="0.3">
      <c r="A9" s="421"/>
      <c r="B9" s="422"/>
      <c r="C9" s="422"/>
      <c r="D9" s="422"/>
      <c r="E9" s="422"/>
      <c r="F9" s="197">
        <f>SUM(F5:F8)</f>
        <v>460.61</v>
      </c>
      <c r="G9" s="196">
        <f>SUM(G5:G8)</f>
        <v>38.380000000000003</v>
      </c>
    </row>
    <row r="10" spans="1:7" ht="15" customHeight="1" thickBot="1" x14ac:dyDescent="0.3">
      <c r="A10" s="418" t="s">
        <v>244</v>
      </c>
      <c r="B10" s="419"/>
      <c r="C10" s="419"/>
      <c r="D10" s="419"/>
      <c r="E10" s="419"/>
      <c r="F10" s="420"/>
      <c r="G10" s="195">
        <f>G9</f>
        <v>38.380000000000003</v>
      </c>
    </row>
    <row r="11" spans="1:7" ht="15.75" thickBot="1" x14ac:dyDescent="0.3">
      <c r="A11" s="406" t="s">
        <v>212</v>
      </c>
      <c r="B11" s="407"/>
      <c r="C11" s="407"/>
      <c r="D11" s="407"/>
      <c r="E11" s="407"/>
      <c r="F11" s="407"/>
      <c r="G11" s="408"/>
    </row>
    <row r="12" spans="1:7" ht="15" customHeight="1" x14ac:dyDescent="0.25">
      <c r="A12" s="397" t="s">
        <v>349</v>
      </c>
      <c r="B12" s="398"/>
      <c r="C12" s="398"/>
      <c r="D12" s="398"/>
      <c r="E12" s="398"/>
      <c r="F12" s="398"/>
      <c r="G12" s="399"/>
    </row>
    <row r="13" spans="1:7" x14ac:dyDescent="0.25">
      <c r="A13" s="400"/>
      <c r="B13" s="401"/>
      <c r="C13" s="401"/>
      <c r="D13" s="401"/>
      <c r="E13" s="401"/>
      <c r="F13" s="401"/>
      <c r="G13" s="402"/>
    </row>
    <row r="14" spans="1:7" x14ac:dyDescent="0.25">
      <c r="A14" s="400"/>
      <c r="B14" s="401"/>
      <c r="C14" s="401"/>
      <c r="D14" s="401"/>
      <c r="E14" s="401"/>
      <c r="F14" s="401"/>
      <c r="G14" s="402"/>
    </row>
    <row r="15" spans="1:7" x14ac:dyDescent="0.25">
      <c r="A15" s="400"/>
      <c r="B15" s="401"/>
      <c r="C15" s="401"/>
      <c r="D15" s="401"/>
      <c r="E15" s="401"/>
      <c r="F15" s="401"/>
      <c r="G15" s="402"/>
    </row>
    <row r="16" spans="1:7" x14ac:dyDescent="0.25">
      <c r="A16" s="400"/>
      <c r="B16" s="401"/>
      <c r="C16" s="401"/>
      <c r="D16" s="401"/>
      <c r="E16" s="401"/>
      <c r="F16" s="401"/>
      <c r="G16" s="402"/>
    </row>
    <row r="17" spans="1:7" x14ac:dyDescent="0.25">
      <c r="A17" s="400"/>
      <c r="B17" s="401"/>
      <c r="C17" s="401"/>
      <c r="D17" s="401"/>
      <c r="E17" s="401"/>
      <c r="F17" s="401"/>
      <c r="G17" s="402"/>
    </row>
    <row r="18" spans="1:7" x14ac:dyDescent="0.25">
      <c r="A18" s="400"/>
      <c r="B18" s="401"/>
      <c r="C18" s="401"/>
      <c r="D18" s="401"/>
      <c r="E18" s="401"/>
      <c r="F18" s="401"/>
      <c r="G18" s="402"/>
    </row>
    <row r="19" spans="1:7" x14ac:dyDescent="0.25">
      <c r="A19" s="400"/>
      <c r="B19" s="401"/>
      <c r="C19" s="401"/>
      <c r="D19" s="401"/>
      <c r="E19" s="401"/>
      <c r="F19" s="401"/>
      <c r="G19" s="402"/>
    </row>
    <row r="20" spans="1:7" x14ac:dyDescent="0.25">
      <c r="A20" s="400"/>
      <c r="B20" s="401"/>
      <c r="C20" s="401"/>
      <c r="D20" s="401"/>
      <c r="E20" s="401"/>
      <c r="F20" s="401"/>
      <c r="G20" s="402"/>
    </row>
    <row r="21" spans="1:7" x14ac:dyDescent="0.25">
      <c r="A21" s="400"/>
      <c r="B21" s="401"/>
      <c r="C21" s="401"/>
      <c r="D21" s="401"/>
      <c r="E21" s="401"/>
      <c r="F21" s="401"/>
      <c r="G21" s="402"/>
    </row>
    <row r="22" spans="1:7" x14ac:dyDescent="0.25">
      <c r="A22" s="400"/>
      <c r="B22" s="401"/>
      <c r="C22" s="401"/>
      <c r="D22" s="401"/>
      <c r="E22" s="401"/>
      <c r="F22" s="401"/>
      <c r="G22" s="402"/>
    </row>
    <row r="23" spans="1:7" x14ac:dyDescent="0.25">
      <c r="A23" s="400"/>
      <c r="B23" s="401"/>
      <c r="C23" s="401"/>
      <c r="D23" s="401"/>
      <c r="E23" s="401"/>
      <c r="F23" s="401"/>
      <c r="G23" s="402"/>
    </row>
    <row r="24" spans="1:7" x14ac:dyDescent="0.25">
      <c r="A24" s="400"/>
      <c r="B24" s="401"/>
      <c r="C24" s="401"/>
      <c r="D24" s="401"/>
      <c r="E24" s="401"/>
      <c r="F24" s="401"/>
      <c r="G24" s="402"/>
    </row>
    <row r="25" spans="1:7" x14ac:dyDescent="0.25">
      <c r="A25" s="400"/>
      <c r="B25" s="401"/>
      <c r="C25" s="401"/>
      <c r="D25" s="401"/>
      <c r="E25" s="401"/>
      <c r="F25" s="401"/>
      <c r="G25" s="402"/>
    </row>
    <row r="26" spans="1:7" x14ac:dyDescent="0.25">
      <c r="A26" s="400"/>
      <c r="B26" s="401"/>
      <c r="C26" s="401"/>
      <c r="D26" s="401"/>
      <c r="E26" s="401"/>
      <c r="F26" s="401"/>
      <c r="G26" s="402"/>
    </row>
    <row r="27" spans="1:7" x14ac:dyDescent="0.25">
      <c r="A27" s="400"/>
      <c r="B27" s="401"/>
      <c r="C27" s="401"/>
      <c r="D27" s="401"/>
      <c r="E27" s="401"/>
      <c r="F27" s="401"/>
      <c r="G27" s="402"/>
    </row>
    <row r="28" spans="1:7" x14ac:dyDescent="0.25">
      <c r="A28" s="400"/>
      <c r="B28" s="401"/>
      <c r="C28" s="401"/>
      <c r="D28" s="401"/>
      <c r="E28" s="401"/>
      <c r="F28" s="401"/>
      <c r="G28" s="402"/>
    </row>
    <row r="29" spans="1:7" x14ac:dyDescent="0.25">
      <c r="A29" s="400"/>
      <c r="B29" s="401"/>
      <c r="C29" s="401"/>
      <c r="D29" s="401"/>
      <c r="E29" s="401"/>
      <c r="F29" s="401"/>
      <c r="G29" s="402"/>
    </row>
    <row r="30" spans="1:7" ht="15.75" thickBot="1" x14ac:dyDescent="0.3">
      <c r="A30" s="403"/>
      <c r="B30" s="404"/>
      <c r="C30" s="404"/>
      <c r="D30" s="404"/>
      <c r="E30" s="404"/>
      <c r="F30" s="404"/>
      <c r="G30" s="405"/>
    </row>
  </sheetData>
  <mergeCells count="7">
    <mergeCell ref="A12:G30"/>
    <mergeCell ref="A11:G11"/>
    <mergeCell ref="A1:G1"/>
    <mergeCell ref="A3:G3"/>
    <mergeCell ref="A2:G2"/>
    <mergeCell ref="A10:F10"/>
    <mergeCell ref="A9:E9"/>
  </mergeCells>
  <printOptions horizontalCentered="1"/>
  <pageMargins left="0.31496062992125984" right="0.31496062992125984" top="0.35433070866141736" bottom="1.1811023622047245" header="3.937007874015748E-2" footer="0.31496062992125984"/>
  <pageSetup paperSize="9" scale="80" orientation="portrait" r:id="rId1"/>
  <headerFooter differentFirst="1">
    <firstFooter>&amp;R&amp;G</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37"/>
  <sheetViews>
    <sheetView view="pageBreakPreview" topLeftCell="A25" zoomScaleSheetLayoutView="100" workbookViewId="0">
      <selection activeCell="H29" sqref="H29"/>
    </sheetView>
  </sheetViews>
  <sheetFormatPr defaultRowHeight="12.75" x14ac:dyDescent="0.25"/>
  <cols>
    <col min="1" max="1" width="6.7109375" style="116" customWidth="1"/>
    <col min="2" max="2" width="100.7109375" style="116" customWidth="1"/>
    <col min="3" max="8" width="12.7109375" style="116" customWidth="1"/>
    <col min="9" max="16384" width="9.140625" style="116"/>
  </cols>
  <sheetData>
    <row r="1" spans="1:8" ht="15" customHeight="1" thickBot="1" x14ac:dyDescent="0.3">
      <c r="A1" s="303" t="s">
        <v>256</v>
      </c>
      <c r="B1" s="266"/>
      <c r="C1" s="266"/>
      <c r="D1" s="266"/>
      <c r="E1" s="266"/>
      <c r="F1" s="266"/>
      <c r="G1" s="266"/>
      <c r="H1" s="267"/>
    </row>
    <row r="2" spans="1:8" ht="30" customHeight="1" x14ac:dyDescent="0.25">
      <c r="A2" s="132" t="s">
        <v>259</v>
      </c>
      <c r="B2" s="133" t="s">
        <v>260</v>
      </c>
      <c r="C2" s="133" t="s">
        <v>183</v>
      </c>
      <c r="D2" s="133" t="s">
        <v>184</v>
      </c>
      <c r="E2" s="134" t="s">
        <v>263</v>
      </c>
      <c r="F2" s="135" t="s">
        <v>185</v>
      </c>
      <c r="G2" s="135" t="s">
        <v>261</v>
      </c>
      <c r="H2" s="136" t="s">
        <v>262</v>
      </c>
    </row>
    <row r="3" spans="1:8" ht="45" customHeight="1" x14ac:dyDescent="0.25">
      <c r="A3" s="217">
        <v>1</v>
      </c>
      <c r="B3" s="220" t="s">
        <v>361</v>
      </c>
      <c r="C3" s="212" t="s">
        <v>242</v>
      </c>
      <c r="D3" s="218">
        <v>144</v>
      </c>
      <c r="E3" s="130">
        <f>D3*12</f>
        <v>1728</v>
      </c>
      <c r="F3" s="189">
        <v>25.89</v>
      </c>
      <c r="G3" s="131">
        <f>F3*E3</f>
        <v>44737.919999999998</v>
      </c>
      <c r="H3" s="137">
        <f t="shared" ref="H3:H27" si="0">F3*D3</f>
        <v>3728.16</v>
      </c>
    </row>
    <row r="4" spans="1:8" ht="45" x14ac:dyDescent="0.25">
      <c r="A4" s="217">
        <v>2</v>
      </c>
      <c r="B4" s="220" t="s">
        <v>322</v>
      </c>
      <c r="C4" s="227" t="s">
        <v>242</v>
      </c>
      <c r="D4" s="221">
        <v>20</v>
      </c>
      <c r="E4" s="130">
        <f t="shared" ref="E4:E26" si="1">D4*12</f>
        <v>240</v>
      </c>
      <c r="F4" s="189">
        <v>5.98</v>
      </c>
      <c r="G4" s="131">
        <f t="shared" ref="G4:G12" si="2">F4*E4</f>
        <v>1435.2</v>
      </c>
      <c r="H4" s="137">
        <f t="shared" si="0"/>
        <v>119.6</v>
      </c>
    </row>
    <row r="5" spans="1:8" ht="60" customHeight="1" x14ac:dyDescent="0.25">
      <c r="A5" s="217">
        <v>3</v>
      </c>
      <c r="B5" s="220" t="s">
        <v>301</v>
      </c>
      <c r="C5" s="212" t="s">
        <v>242</v>
      </c>
      <c r="D5" s="219">
        <v>40</v>
      </c>
      <c r="E5" s="130">
        <f t="shared" si="1"/>
        <v>480</v>
      </c>
      <c r="F5" s="146">
        <f>1.51*2</f>
        <v>3.02</v>
      </c>
      <c r="G5" s="131">
        <f t="shared" si="2"/>
        <v>1449.6</v>
      </c>
      <c r="H5" s="137">
        <f t="shared" si="0"/>
        <v>120.8</v>
      </c>
    </row>
    <row r="6" spans="1:8" ht="45" customHeight="1" x14ac:dyDescent="0.25">
      <c r="A6" s="217">
        <v>4</v>
      </c>
      <c r="B6" s="220" t="s">
        <v>302</v>
      </c>
      <c r="C6" s="212" t="s">
        <v>242</v>
      </c>
      <c r="D6" s="219">
        <v>20</v>
      </c>
      <c r="E6" s="130">
        <f t="shared" si="1"/>
        <v>240</v>
      </c>
      <c r="F6" s="146">
        <v>6.13</v>
      </c>
      <c r="G6" s="131">
        <f t="shared" si="2"/>
        <v>1471.2</v>
      </c>
      <c r="H6" s="137">
        <f t="shared" si="0"/>
        <v>122.6</v>
      </c>
    </row>
    <row r="7" spans="1:8" ht="60" customHeight="1" x14ac:dyDescent="0.25">
      <c r="A7" s="217">
        <v>5</v>
      </c>
      <c r="B7" s="220" t="s">
        <v>303</v>
      </c>
      <c r="C7" s="212" t="s">
        <v>270</v>
      </c>
      <c r="D7" s="219">
        <v>15</v>
      </c>
      <c r="E7" s="130">
        <f t="shared" si="1"/>
        <v>180</v>
      </c>
      <c r="F7" s="146">
        <v>0.6</v>
      </c>
      <c r="G7" s="131">
        <f t="shared" si="2"/>
        <v>108</v>
      </c>
      <c r="H7" s="137">
        <f t="shared" si="0"/>
        <v>9</v>
      </c>
    </row>
    <row r="8" spans="1:8" ht="15" customHeight="1" x14ac:dyDescent="0.25">
      <c r="A8" s="217">
        <v>6</v>
      </c>
      <c r="B8" s="220" t="s">
        <v>304</v>
      </c>
      <c r="C8" s="212" t="s">
        <v>270</v>
      </c>
      <c r="D8" s="218">
        <v>5</v>
      </c>
      <c r="E8" s="130">
        <f t="shared" si="1"/>
        <v>60</v>
      </c>
      <c r="F8" s="189">
        <v>5</v>
      </c>
      <c r="G8" s="131">
        <f t="shared" si="2"/>
        <v>300</v>
      </c>
      <c r="H8" s="137">
        <f t="shared" si="0"/>
        <v>25</v>
      </c>
    </row>
    <row r="9" spans="1:8" ht="60" customHeight="1" x14ac:dyDescent="0.25">
      <c r="A9" s="217">
        <v>7</v>
      </c>
      <c r="B9" s="220" t="s">
        <v>305</v>
      </c>
      <c r="C9" s="212" t="s">
        <v>271</v>
      </c>
      <c r="D9" s="218">
        <v>4</v>
      </c>
      <c r="E9" s="130">
        <f t="shared" si="1"/>
        <v>48</v>
      </c>
      <c r="F9" s="146">
        <v>3.02</v>
      </c>
      <c r="G9" s="131">
        <f t="shared" si="2"/>
        <v>144.96</v>
      </c>
      <c r="H9" s="137">
        <f t="shared" si="0"/>
        <v>12.08</v>
      </c>
    </row>
    <row r="10" spans="1:8" ht="30" customHeight="1" x14ac:dyDescent="0.25">
      <c r="A10" s="217">
        <v>8</v>
      </c>
      <c r="B10" s="220" t="s">
        <v>306</v>
      </c>
      <c r="C10" s="212" t="s">
        <v>270</v>
      </c>
      <c r="D10" s="218">
        <v>5</v>
      </c>
      <c r="E10" s="130">
        <f t="shared" si="1"/>
        <v>60</v>
      </c>
      <c r="F10" s="146">
        <v>3.4</v>
      </c>
      <c r="G10" s="131">
        <f t="shared" si="2"/>
        <v>204</v>
      </c>
      <c r="H10" s="137">
        <f t="shared" si="0"/>
        <v>17</v>
      </c>
    </row>
    <row r="11" spans="1:8" ht="45" customHeight="1" x14ac:dyDescent="0.25">
      <c r="A11" s="217">
        <v>9</v>
      </c>
      <c r="B11" s="220" t="s">
        <v>307</v>
      </c>
      <c r="C11" s="212" t="s">
        <v>270</v>
      </c>
      <c r="D11" s="219">
        <v>100</v>
      </c>
      <c r="E11" s="130">
        <f t="shared" si="1"/>
        <v>1200</v>
      </c>
      <c r="F11" s="146">
        <f>32.63/8</f>
        <v>4.08</v>
      </c>
      <c r="G11" s="131">
        <f t="shared" si="2"/>
        <v>4896</v>
      </c>
      <c r="H11" s="137">
        <f t="shared" si="0"/>
        <v>408</v>
      </c>
    </row>
    <row r="12" spans="1:8" ht="75" customHeight="1" x14ac:dyDescent="0.25">
      <c r="A12" s="217">
        <v>10</v>
      </c>
      <c r="B12" s="220" t="s">
        <v>308</v>
      </c>
      <c r="C12" s="212" t="s">
        <v>243</v>
      </c>
      <c r="D12" s="219">
        <v>200</v>
      </c>
      <c r="E12" s="130">
        <f t="shared" si="1"/>
        <v>2400</v>
      </c>
      <c r="F12" s="189">
        <v>4.8499999999999996</v>
      </c>
      <c r="G12" s="131">
        <f t="shared" si="2"/>
        <v>11640</v>
      </c>
      <c r="H12" s="137">
        <f t="shared" si="0"/>
        <v>970</v>
      </c>
    </row>
    <row r="13" spans="1:8" ht="60" customHeight="1" x14ac:dyDescent="0.25">
      <c r="A13" s="217">
        <v>11</v>
      </c>
      <c r="B13" s="220" t="s">
        <v>309</v>
      </c>
      <c r="C13" s="212" t="s">
        <v>242</v>
      </c>
      <c r="D13" s="219">
        <v>25</v>
      </c>
      <c r="E13" s="130">
        <f t="shared" si="1"/>
        <v>300</v>
      </c>
      <c r="F13" s="146">
        <v>6.11</v>
      </c>
      <c r="G13" s="131">
        <f t="shared" ref="G13" si="3">F13*E13</f>
        <v>1833</v>
      </c>
      <c r="H13" s="137">
        <f t="shared" si="0"/>
        <v>152.75</v>
      </c>
    </row>
    <row r="14" spans="1:8" ht="30" customHeight="1" x14ac:dyDescent="0.25">
      <c r="A14" s="217">
        <v>12</v>
      </c>
      <c r="B14" s="220" t="s">
        <v>310</v>
      </c>
      <c r="C14" s="212" t="s">
        <v>270</v>
      </c>
      <c r="D14" s="218">
        <v>5</v>
      </c>
      <c r="E14" s="130">
        <f t="shared" si="1"/>
        <v>60</v>
      </c>
      <c r="F14" s="146">
        <v>1.88</v>
      </c>
      <c r="G14" s="131">
        <f t="shared" ref="G14:G25" si="4">F14*E14</f>
        <v>112.8</v>
      </c>
      <c r="H14" s="137">
        <f t="shared" si="0"/>
        <v>9.4</v>
      </c>
    </row>
    <row r="15" spans="1:8" ht="45" customHeight="1" x14ac:dyDescent="0.25">
      <c r="A15" s="217">
        <v>13</v>
      </c>
      <c r="B15" s="220" t="s">
        <v>311</v>
      </c>
      <c r="C15" s="212" t="s">
        <v>243</v>
      </c>
      <c r="D15" s="218">
        <v>4</v>
      </c>
      <c r="E15" s="130">
        <f t="shared" si="1"/>
        <v>48</v>
      </c>
      <c r="F15" s="146">
        <v>1.88</v>
      </c>
      <c r="G15" s="131">
        <f t="shared" si="4"/>
        <v>90.24</v>
      </c>
      <c r="H15" s="137">
        <f t="shared" si="0"/>
        <v>7.52</v>
      </c>
    </row>
    <row r="16" spans="1:8" ht="75" customHeight="1" x14ac:dyDescent="0.25">
      <c r="A16" s="217">
        <v>14</v>
      </c>
      <c r="B16" s="220" t="s">
        <v>312</v>
      </c>
      <c r="C16" s="212" t="s">
        <v>272</v>
      </c>
      <c r="D16" s="219">
        <v>12</v>
      </c>
      <c r="E16" s="130">
        <f t="shared" si="1"/>
        <v>144</v>
      </c>
      <c r="F16" s="189">
        <v>26.86</v>
      </c>
      <c r="G16" s="131">
        <f t="shared" si="4"/>
        <v>3867.84</v>
      </c>
      <c r="H16" s="137">
        <f t="shared" si="0"/>
        <v>322.32</v>
      </c>
    </row>
    <row r="17" spans="1:8" ht="45" customHeight="1" x14ac:dyDescent="0.25">
      <c r="A17" s="217">
        <v>15</v>
      </c>
      <c r="B17" s="220" t="s">
        <v>313</v>
      </c>
      <c r="C17" s="212" t="s">
        <v>267</v>
      </c>
      <c r="D17" s="218">
        <v>1</v>
      </c>
      <c r="E17" s="130">
        <f t="shared" si="1"/>
        <v>12</v>
      </c>
      <c r="F17" s="146">
        <v>15.25</v>
      </c>
      <c r="G17" s="131">
        <f t="shared" si="4"/>
        <v>183</v>
      </c>
      <c r="H17" s="137">
        <f t="shared" si="0"/>
        <v>15.25</v>
      </c>
    </row>
    <row r="18" spans="1:8" ht="75" customHeight="1" x14ac:dyDescent="0.25">
      <c r="A18" s="217">
        <v>16</v>
      </c>
      <c r="B18" s="220" t="s">
        <v>314</v>
      </c>
      <c r="C18" s="212" t="s">
        <v>270</v>
      </c>
      <c r="D18" s="219">
        <v>20</v>
      </c>
      <c r="E18" s="130">
        <f t="shared" si="1"/>
        <v>240</v>
      </c>
      <c r="F18" s="146">
        <v>1.07</v>
      </c>
      <c r="G18" s="131">
        <f t="shared" si="4"/>
        <v>256.8</v>
      </c>
      <c r="H18" s="137">
        <f t="shared" si="0"/>
        <v>21.4</v>
      </c>
    </row>
    <row r="19" spans="1:8" ht="30" x14ac:dyDescent="0.25">
      <c r="A19" s="217">
        <v>17</v>
      </c>
      <c r="B19" s="181" t="s">
        <v>320</v>
      </c>
      <c r="C19" s="212" t="s">
        <v>275</v>
      </c>
      <c r="D19" s="219">
        <v>300</v>
      </c>
      <c r="E19" s="239">
        <f>D19*12</f>
        <v>3600</v>
      </c>
      <c r="F19" s="146">
        <f>0.18</f>
        <v>0.18</v>
      </c>
      <c r="G19" s="240">
        <f>F19*E19</f>
        <v>648</v>
      </c>
      <c r="H19" s="241">
        <f t="shared" si="0"/>
        <v>54</v>
      </c>
    </row>
    <row r="20" spans="1:8" ht="30" x14ac:dyDescent="0.25">
      <c r="A20" s="217">
        <v>18</v>
      </c>
      <c r="B20" s="220" t="s">
        <v>321</v>
      </c>
      <c r="C20" s="212" t="s">
        <v>275</v>
      </c>
      <c r="D20" s="219">
        <v>300</v>
      </c>
      <c r="E20" s="130">
        <f>D20*12</f>
        <v>3600</v>
      </c>
      <c r="F20" s="189">
        <f>6.5/100</f>
        <v>7.0000000000000007E-2</v>
      </c>
      <c r="G20" s="131">
        <f>F20*E20</f>
        <v>252</v>
      </c>
      <c r="H20" s="137">
        <f t="shared" si="0"/>
        <v>21</v>
      </c>
    </row>
    <row r="21" spans="1:8" ht="90" customHeight="1" x14ac:dyDescent="0.25">
      <c r="A21" s="217">
        <v>19</v>
      </c>
      <c r="B21" s="220" t="s">
        <v>315</v>
      </c>
      <c r="C21" s="212" t="s">
        <v>186</v>
      </c>
      <c r="D21" s="219">
        <v>40</v>
      </c>
      <c r="E21" s="130">
        <f t="shared" si="1"/>
        <v>480</v>
      </c>
      <c r="F21" s="146">
        <v>3</v>
      </c>
      <c r="G21" s="131">
        <f t="shared" si="4"/>
        <v>1440</v>
      </c>
      <c r="H21" s="137">
        <f t="shared" si="0"/>
        <v>120</v>
      </c>
    </row>
    <row r="22" spans="1:8" ht="60" customHeight="1" x14ac:dyDescent="0.25">
      <c r="A22" s="217">
        <v>20</v>
      </c>
      <c r="B22" s="220" t="s">
        <v>316</v>
      </c>
      <c r="C22" s="212" t="s">
        <v>270</v>
      </c>
      <c r="D22" s="219">
        <v>2700</v>
      </c>
      <c r="E22" s="130">
        <f t="shared" si="1"/>
        <v>32400</v>
      </c>
      <c r="F22" s="146">
        <f>13.83/100</f>
        <v>0.14000000000000001</v>
      </c>
      <c r="G22" s="131">
        <f t="shared" si="4"/>
        <v>4536</v>
      </c>
      <c r="H22" s="137">
        <f t="shared" si="0"/>
        <v>378</v>
      </c>
    </row>
    <row r="23" spans="1:8" ht="45" x14ac:dyDescent="0.25">
      <c r="A23" s="217">
        <v>21</v>
      </c>
      <c r="B23" s="220" t="s">
        <v>318</v>
      </c>
      <c r="C23" s="212" t="s">
        <v>270</v>
      </c>
      <c r="D23" s="219">
        <v>1250</v>
      </c>
      <c r="E23" s="130">
        <f>D23*12</f>
        <v>15000</v>
      </c>
      <c r="F23" s="153">
        <f>24/100</f>
        <v>0.24</v>
      </c>
      <c r="G23" s="131">
        <f>F23*E23</f>
        <v>3600</v>
      </c>
      <c r="H23" s="137">
        <f t="shared" si="0"/>
        <v>300</v>
      </c>
    </row>
    <row r="24" spans="1:8" ht="45" x14ac:dyDescent="0.25">
      <c r="A24" s="217">
        <v>22</v>
      </c>
      <c r="B24" s="220" t="s">
        <v>317</v>
      </c>
      <c r="C24" s="212" t="s">
        <v>270</v>
      </c>
      <c r="D24" s="219">
        <v>2800</v>
      </c>
      <c r="E24" s="130">
        <f t="shared" si="1"/>
        <v>33600</v>
      </c>
      <c r="F24" s="153">
        <f>8.38/100</f>
        <v>0.08</v>
      </c>
      <c r="G24" s="131">
        <f t="shared" si="4"/>
        <v>2688</v>
      </c>
      <c r="H24" s="137">
        <f t="shared" si="0"/>
        <v>224</v>
      </c>
    </row>
    <row r="25" spans="1:8" ht="60" customHeight="1" x14ac:dyDescent="0.25">
      <c r="A25" s="217">
        <v>23</v>
      </c>
      <c r="B25" s="220" t="s">
        <v>319</v>
      </c>
      <c r="C25" s="212" t="s">
        <v>270</v>
      </c>
      <c r="D25" s="219">
        <v>750</v>
      </c>
      <c r="E25" s="130">
        <f t="shared" si="1"/>
        <v>9000</v>
      </c>
      <c r="F25" s="189">
        <f>26.5/100</f>
        <v>0.27</v>
      </c>
      <c r="G25" s="131">
        <f t="shared" si="4"/>
        <v>2430</v>
      </c>
      <c r="H25" s="137">
        <f t="shared" si="0"/>
        <v>202.5</v>
      </c>
    </row>
    <row r="26" spans="1:8" ht="15" customHeight="1" x14ac:dyDescent="0.25">
      <c r="A26" s="217">
        <v>24</v>
      </c>
      <c r="B26" s="224" t="s">
        <v>274</v>
      </c>
      <c r="C26" s="212" t="s">
        <v>242</v>
      </c>
      <c r="D26" s="219">
        <v>8</v>
      </c>
      <c r="E26" s="130">
        <f t="shared" si="1"/>
        <v>96</v>
      </c>
      <c r="F26" s="146">
        <v>5.98</v>
      </c>
      <c r="G26" s="131">
        <f>F26*E26</f>
        <v>574.08000000000004</v>
      </c>
      <c r="H26" s="137">
        <f t="shared" si="0"/>
        <v>47.84</v>
      </c>
    </row>
    <row r="27" spans="1:8" ht="60" x14ac:dyDescent="0.25">
      <c r="A27" s="217">
        <v>25</v>
      </c>
      <c r="B27" s="238" t="s">
        <v>350</v>
      </c>
      <c r="C27" s="212" t="s">
        <v>351</v>
      </c>
      <c r="D27" s="219">
        <v>80</v>
      </c>
      <c r="E27" s="130">
        <f>D27*12</f>
        <v>960</v>
      </c>
      <c r="F27" s="146">
        <v>28.81</v>
      </c>
      <c r="G27" s="131">
        <f>F27*E27</f>
        <v>27657.599999999999</v>
      </c>
      <c r="H27" s="137">
        <f t="shared" si="0"/>
        <v>2304.8000000000002</v>
      </c>
    </row>
    <row r="28" spans="1:8" ht="30" customHeight="1" thickBot="1" x14ac:dyDescent="0.3">
      <c r="A28" s="425"/>
      <c r="B28" s="426"/>
      <c r="C28" s="426"/>
      <c r="D28" s="426"/>
      <c r="E28" s="426"/>
      <c r="F28" s="426"/>
      <c r="G28" s="242">
        <f>SUM(G3:G27)</f>
        <v>116556.24</v>
      </c>
      <c r="H28" s="243">
        <f>SUM(H3:H27)</f>
        <v>9713.02</v>
      </c>
    </row>
    <row r="29" spans="1:8" ht="15" customHeight="1" thickBot="1" x14ac:dyDescent="0.3">
      <c r="A29" s="423" t="s">
        <v>244</v>
      </c>
      <c r="B29" s="424"/>
      <c r="C29" s="424"/>
      <c r="D29" s="424"/>
      <c r="E29" s="424"/>
      <c r="F29" s="424"/>
      <c r="G29" s="424"/>
      <c r="H29" s="244">
        <f>H28/5</f>
        <v>1942.6</v>
      </c>
    </row>
    <row r="30" spans="1:8" ht="15.75" thickBot="1" x14ac:dyDescent="0.3">
      <c r="A30" s="433" t="s">
        <v>265</v>
      </c>
      <c r="B30" s="434"/>
      <c r="C30" s="434"/>
      <c r="D30" s="434"/>
      <c r="E30" s="434"/>
      <c r="F30" s="434"/>
      <c r="G30" s="434"/>
      <c r="H30" s="435"/>
    </row>
    <row r="31" spans="1:8" ht="30" customHeight="1" x14ac:dyDescent="0.25">
      <c r="A31" s="436" t="s">
        <v>280</v>
      </c>
      <c r="B31" s="437"/>
      <c r="C31" s="437"/>
      <c r="D31" s="437"/>
      <c r="E31" s="437"/>
      <c r="F31" s="437"/>
      <c r="G31" s="437"/>
      <c r="H31" s="438"/>
    </row>
    <row r="32" spans="1:8" ht="30" customHeight="1" x14ac:dyDescent="0.25">
      <c r="A32" s="439" t="s">
        <v>281</v>
      </c>
      <c r="B32" s="440"/>
      <c r="C32" s="440"/>
      <c r="D32" s="440"/>
      <c r="E32" s="440"/>
      <c r="F32" s="440"/>
      <c r="G32" s="440"/>
      <c r="H32" s="441"/>
    </row>
    <row r="33" spans="1:8" ht="30" customHeight="1" x14ac:dyDescent="0.25">
      <c r="A33" s="430" t="s">
        <v>282</v>
      </c>
      <c r="B33" s="431"/>
      <c r="C33" s="431"/>
      <c r="D33" s="431"/>
      <c r="E33" s="431"/>
      <c r="F33" s="431"/>
      <c r="G33" s="431"/>
      <c r="H33" s="432"/>
    </row>
    <row r="34" spans="1:8" ht="30" customHeight="1" x14ac:dyDescent="0.25">
      <c r="A34" s="430" t="s">
        <v>284</v>
      </c>
      <c r="B34" s="431"/>
      <c r="C34" s="431"/>
      <c r="D34" s="431"/>
      <c r="E34" s="431"/>
      <c r="F34" s="431"/>
      <c r="G34" s="431"/>
      <c r="H34" s="432"/>
    </row>
    <row r="35" spans="1:8" ht="30" customHeight="1" x14ac:dyDescent="0.25">
      <c r="A35" s="430" t="s">
        <v>283</v>
      </c>
      <c r="B35" s="431"/>
      <c r="C35" s="431"/>
      <c r="D35" s="431"/>
      <c r="E35" s="431"/>
      <c r="F35" s="431"/>
      <c r="G35" s="431"/>
      <c r="H35" s="432"/>
    </row>
    <row r="36" spans="1:8" ht="30" customHeight="1" x14ac:dyDescent="0.25">
      <c r="A36" s="430" t="s">
        <v>285</v>
      </c>
      <c r="B36" s="431"/>
      <c r="C36" s="431"/>
      <c r="D36" s="431"/>
      <c r="E36" s="431"/>
      <c r="F36" s="431"/>
      <c r="G36" s="431"/>
      <c r="H36" s="432"/>
    </row>
    <row r="37" spans="1:8" ht="30" customHeight="1" thickBot="1" x14ac:dyDescent="0.3">
      <c r="A37" s="427" t="s">
        <v>286</v>
      </c>
      <c r="B37" s="428"/>
      <c r="C37" s="428"/>
      <c r="D37" s="428"/>
      <c r="E37" s="428"/>
      <c r="F37" s="428"/>
      <c r="G37" s="428"/>
      <c r="H37" s="429"/>
    </row>
  </sheetData>
  <mergeCells count="11">
    <mergeCell ref="A1:H1"/>
    <mergeCell ref="A29:G29"/>
    <mergeCell ref="A28:F28"/>
    <mergeCell ref="A37:H37"/>
    <mergeCell ref="A35:H35"/>
    <mergeCell ref="A36:H36"/>
    <mergeCell ref="A34:H34"/>
    <mergeCell ref="A33:H33"/>
    <mergeCell ref="A30:H30"/>
    <mergeCell ref="A31:H31"/>
    <mergeCell ref="A32:H32"/>
  </mergeCells>
  <printOptions horizontalCentered="1"/>
  <pageMargins left="0.31496062992125984" right="0.31496062992125984" top="0.35433070866141736" bottom="1.1811023622047245" header="3.937007874015748E-2" footer="0.31496062992125984"/>
  <pageSetup paperSize="9" scale="48" orientation="portrait" r:id="rId1"/>
  <headerFooter differentFirst="1">
    <firstFooter>&amp;R&amp;G</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38"/>
  <sheetViews>
    <sheetView view="pageBreakPreview" topLeftCell="A19" zoomScaleSheetLayoutView="100" workbookViewId="0">
      <selection activeCell="H37" sqref="H37"/>
    </sheetView>
  </sheetViews>
  <sheetFormatPr defaultRowHeight="12.75" x14ac:dyDescent="0.25"/>
  <cols>
    <col min="1" max="1" width="6.7109375" style="116" customWidth="1"/>
    <col min="2" max="2" width="100.7109375" style="116" customWidth="1"/>
    <col min="3" max="8" width="12.7109375" style="116" customWidth="1"/>
    <col min="9" max="9" width="10.28515625" style="116" bestFit="1" customWidth="1"/>
    <col min="10" max="16384" width="9.140625" style="116"/>
  </cols>
  <sheetData>
    <row r="1" spans="1:9" ht="15" customHeight="1" thickBot="1" x14ac:dyDescent="0.3">
      <c r="A1" s="274" t="s">
        <v>256</v>
      </c>
      <c r="B1" s="442"/>
      <c r="C1" s="442"/>
      <c r="D1" s="442"/>
      <c r="E1" s="442"/>
      <c r="F1" s="442"/>
      <c r="G1" s="442"/>
      <c r="H1" s="443"/>
    </row>
    <row r="2" spans="1:9" ht="30" customHeight="1" thickBot="1" x14ac:dyDescent="0.3">
      <c r="A2" s="148" t="s">
        <v>259</v>
      </c>
      <c r="B2" s="149" t="s">
        <v>260</v>
      </c>
      <c r="C2" s="149" t="s">
        <v>183</v>
      </c>
      <c r="D2" s="149" t="s">
        <v>184</v>
      </c>
      <c r="E2" s="150" t="s">
        <v>264</v>
      </c>
      <c r="F2" s="151" t="s">
        <v>185</v>
      </c>
      <c r="G2" s="151" t="s">
        <v>261</v>
      </c>
      <c r="H2" s="152" t="s">
        <v>262</v>
      </c>
    </row>
    <row r="3" spans="1:9" ht="60" customHeight="1" x14ac:dyDescent="0.25">
      <c r="A3" s="222">
        <v>1</v>
      </c>
      <c r="B3" s="220" t="s">
        <v>323</v>
      </c>
      <c r="C3" s="212" t="s">
        <v>270</v>
      </c>
      <c r="D3" s="223">
        <v>5</v>
      </c>
      <c r="E3" s="154">
        <v>60</v>
      </c>
      <c r="F3" s="147">
        <v>512.92999999999995</v>
      </c>
      <c r="G3" s="155">
        <f>F3*D3</f>
        <v>2564.65</v>
      </c>
      <c r="H3" s="156">
        <f t="shared" ref="H3:H33" si="0">G3/E3</f>
        <v>42.74</v>
      </c>
    </row>
    <row r="4" spans="1:9" ht="15" customHeight="1" x14ac:dyDescent="0.25">
      <c r="A4" s="157">
        <v>2</v>
      </c>
      <c r="B4" s="224" t="s">
        <v>276</v>
      </c>
      <c r="C4" s="212" t="s">
        <v>270</v>
      </c>
      <c r="D4" s="223">
        <v>6</v>
      </c>
      <c r="E4" s="130">
        <v>60</v>
      </c>
      <c r="F4" s="146">
        <v>171.57</v>
      </c>
      <c r="G4" s="131">
        <f>F4*D4</f>
        <v>1029.42</v>
      </c>
      <c r="H4" s="156">
        <f t="shared" si="0"/>
        <v>17.16</v>
      </c>
    </row>
    <row r="5" spans="1:9" ht="15" customHeight="1" x14ac:dyDescent="0.25">
      <c r="A5" s="157">
        <v>3</v>
      </c>
      <c r="B5" s="220" t="s">
        <v>333</v>
      </c>
      <c r="C5" s="227" t="s">
        <v>270</v>
      </c>
      <c r="D5" s="160">
        <v>8</v>
      </c>
      <c r="E5" s="130">
        <v>60</v>
      </c>
      <c r="F5" s="138">
        <v>8.6999999999999993</v>
      </c>
      <c r="G5" s="131">
        <f>F5*D5</f>
        <v>69.599999999999994</v>
      </c>
      <c r="H5" s="156">
        <f t="shared" si="0"/>
        <v>1.1599999999999999</v>
      </c>
    </row>
    <row r="6" spans="1:9" ht="15" customHeight="1" x14ac:dyDescent="0.25">
      <c r="A6" s="222">
        <v>4</v>
      </c>
      <c r="B6" s="220" t="s">
        <v>331</v>
      </c>
      <c r="C6" s="227" t="s">
        <v>270</v>
      </c>
      <c r="D6" s="160">
        <v>6</v>
      </c>
      <c r="E6" s="130">
        <v>60</v>
      </c>
      <c r="F6" s="138">
        <v>7.5</v>
      </c>
      <c r="G6" s="131">
        <f>F6*D6</f>
        <v>45</v>
      </c>
      <c r="H6" s="156">
        <f t="shared" si="0"/>
        <v>0.75</v>
      </c>
    </row>
    <row r="7" spans="1:9" ht="30" x14ac:dyDescent="0.25">
      <c r="A7" s="157">
        <v>5</v>
      </c>
      <c r="B7" s="220" t="s">
        <v>355</v>
      </c>
      <c r="C7" s="227" t="s">
        <v>277</v>
      </c>
      <c r="D7" s="160">
        <v>4</v>
      </c>
      <c r="E7" s="130">
        <v>60</v>
      </c>
      <c r="F7" s="138">
        <v>54.75</v>
      </c>
      <c r="G7" s="131">
        <f t="shared" ref="G7:G16" si="1">F7*D7</f>
        <v>219</v>
      </c>
      <c r="H7" s="156">
        <f t="shared" si="0"/>
        <v>3.65</v>
      </c>
    </row>
    <row r="8" spans="1:9" ht="15" customHeight="1" x14ac:dyDescent="0.25">
      <c r="A8" s="157">
        <v>6</v>
      </c>
      <c r="B8" s="220" t="s">
        <v>334</v>
      </c>
      <c r="C8" s="227" t="s">
        <v>270</v>
      </c>
      <c r="D8" s="160">
        <v>4</v>
      </c>
      <c r="E8" s="130">
        <v>60</v>
      </c>
      <c r="F8" s="138">
        <v>19.78</v>
      </c>
      <c r="G8" s="131">
        <f t="shared" si="1"/>
        <v>79.12</v>
      </c>
      <c r="H8" s="137">
        <f t="shared" si="0"/>
        <v>1.32</v>
      </c>
    </row>
    <row r="9" spans="1:9" ht="15" customHeight="1" x14ac:dyDescent="0.25">
      <c r="A9" s="222">
        <v>7</v>
      </c>
      <c r="B9" s="220" t="s">
        <v>330</v>
      </c>
      <c r="C9" s="227" t="s">
        <v>270</v>
      </c>
      <c r="D9" s="160">
        <v>11</v>
      </c>
      <c r="E9" s="130">
        <v>60</v>
      </c>
      <c r="F9" s="153">
        <v>4.28</v>
      </c>
      <c r="G9" s="131">
        <f t="shared" si="1"/>
        <v>47.08</v>
      </c>
      <c r="H9" s="137">
        <f t="shared" si="0"/>
        <v>0.78</v>
      </c>
    </row>
    <row r="10" spans="1:9" ht="15" x14ac:dyDescent="0.25">
      <c r="A10" s="157">
        <v>8</v>
      </c>
      <c r="B10" s="220" t="s">
        <v>352</v>
      </c>
      <c r="C10" s="212" t="s">
        <v>270</v>
      </c>
      <c r="D10" s="223">
        <v>4</v>
      </c>
      <c r="E10" s="143">
        <v>60</v>
      </c>
      <c r="F10" s="146">
        <v>68.209999999999994</v>
      </c>
      <c r="G10" s="131">
        <f t="shared" si="1"/>
        <v>272.83999999999997</v>
      </c>
      <c r="H10" s="137">
        <f t="shared" si="0"/>
        <v>4.55</v>
      </c>
    </row>
    <row r="11" spans="1:9" ht="15" customHeight="1" x14ac:dyDescent="0.25">
      <c r="A11" s="157">
        <v>9</v>
      </c>
      <c r="B11" s="220" t="s">
        <v>326</v>
      </c>
      <c r="C11" s="212" t="s">
        <v>277</v>
      </c>
      <c r="D11" s="223">
        <v>6</v>
      </c>
      <c r="E11" s="130">
        <v>60</v>
      </c>
      <c r="F11" s="146">
        <v>31.76</v>
      </c>
      <c r="G11" s="131">
        <f t="shared" si="1"/>
        <v>190.56</v>
      </c>
      <c r="H11" s="137">
        <f t="shared" si="0"/>
        <v>3.18</v>
      </c>
    </row>
    <row r="12" spans="1:9" ht="15" customHeight="1" x14ac:dyDescent="0.25">
      <c r="A12" s="222">
        <v>10</v>
      </c>
      <c r="B12" s="220" t="s">
        <v>325</v>
      </c>
      <c r="C12" s="212" t="s">
        <v>270</v>
      </c>
      <c r="D12" s="223">
        <v>1</v>
      </c>
      <c r="E12" s="130">
        <v>60</v>
      </c>
      <c r="F12" s="146">
        <v>514.74</v>
      </c>
      <c r="G12" s="131">
        <f t="shared" si="1"/>
        <v>514.74</v>
      </c>
      <c r="H12" s="137">
        <f t="shared" si="0"/>
        <v>8.58</v>
      </c>
    </row>
    <row r="13" spans="1:9" ht="15" customHeight="1" x14ac:dyDescent="0.25">
      <c r="A13" s="157">
        <v>11</v>
      </c>
      <c r="B13" s="220" t="s">
        <v>329</v>
      </c>
      <c r="C13" s="227" t="s">
        <v>270</v>
      </c>
      <c r="D13" s="160">
        <v>2</v>
      </c>
      <c r="E13" s="130">
        <v>60</v>
      </c>
      <c r="F13" s="146">
        <v>37.33</v>
      </c>
      <c r="G13" s="131">
        <f t="shared" si="1"/>
        <v>74.66</v>
      </c>
      <c r="H13" s="137">
        <f t="shared" si="0"/>
        <v>1.24</v>
      </c>
    </row>
    <row r="14" spans="1:9" ht="15" x14ac:dyDescent="0.25">
      <c r="A14" s="157">
        <v>12</v>
      </c>
      <c r="B14" s="220" t="s">
        <v>327</v>
      </c>
      <c r="C14" s="212" t="s">
        <v>277</v>
      </c>
      <c r="D14" s="223">
        <v>2</v>
      </c>
      <c r="E14" s="130">
        <v>60</v>
      </c>
      <c r="F14" s="146">
        <v>38.5</v>
      </c>
      <c r="G14" s="131">
        <f t="shared" si="1"/>
        <v>77</v>
      </c>
      <c r="H14" s="137">
        <f t="shared" si="0"/>
        <v>1.28</v>
      </c>
      <c r="I14" s="246"/>
    </row>
    <row r="15" spans="1:9" ht="30" x14ac:dyDescent="0.25">
      <c r="A15" s="222">
        <v>13</v>
      </c>
      <c r="B15" s="220" t="s">
        <v>332</v>
      </c>
      <c r="C15" s="227" t="s">
        <v>270</v>
      </c>
      <c r="D15" s="160">
        <v>8</v>
      </c>
      <c r="E15" s="130">
        <v>60</v>
      </c>
      <c r="F15" s="138">
        <v>9</v>
      </c>
      <c r="G15" s="131">
        <f t="shared" si="1"/>
        <v>72</v>
      </c>
      <c r="H15" s="137">
        <f t="shared" si="0"/>
        <v>1.2</v>
      </c>
      <c r="I15" s="246"/>
    </row>
    <row r="16" spans="1:9" ht="30" x14ac:dyDescent="0.25">
      <c r="A16" s="157">
        <v>14</v>
      </c>
      <c r="B16" s="220" t="s">
        <v>335</v>
      </c>
      <c r="C16" s="227" t="s">
        <v>273</v>
      </c>
      <c r="D16" s="160">
        <v>4</v>
      </c>
      <c r="E16" s="130">
        <v>60</v>
      </c>
      <c r="F16" s="138">
        <v>136.84</v>
      </c>
      <c r="G16" s="131">
        <f t="shared" si="1"/>
        <v>547.36</v>
      </c>
      <c r="H16" s="137">
        <f t="shared" si="0"/>
        <v>9.1199999999999992</v>
      </c>
    </row>
    <row r="17" spans="1:9" ht="30" x14ac:dyDescent="0.25">
      <c r="A17" s="157">
        <v>15</v>
      </c>
      <c r="B17" s="220" t="s">
        <v>336</v>
      </c>
      <c r="C17" s="227" t="s">
        <v>273</v>
      </c>
      <c r="D17" s="160">
        <v>14</v>
      </c>
      <c r="E17" s="130">
        <v>60</v>
      </c>
      <c r="F17" s="147">
        <v>23.99</v>
      </c>
      <c r="G17" s="131">
        <f t="shared" ref="G17" si="2">F17*D17</f>
        <v>335.86</v>
      </c>
      <c r="H17" s="137">
        <f t="shared" si="0"/>
        <v>5.6</v>
      </c>
    </row>
    <row r="18" spans="1:9" ht="30" x14ac:dyDescent="0.25">
      <c r="A18" s="222">
        <v>16</v>
      </c>
      <c r="B18" s="220" t="s">
        <v>353</v>
      </c>
      <c r="C18" s="227" t="s">
        <v>270</v>
      </c>
      <c r="D18" s="160">
        <v>16</v>
      </c>
      <c r="E18" s="130">
        <v>60</v>
      </c>
      <c r="F18" s="147">
        <v>28.09</v>
      </c>
      <c r="G18" s="131">
        <f t="shared" ref="G18:G36" si="3">F18*D18</f>
        <v>449.44</v>
      </c>
      <c r="H18" s="137">
        <f t="shared" si="0"/>
        <v>7.49</v>
      </c>
      <c r="I18" s="246"/>
    </row>
    <row r="19" spans="1:9" ht="45" x14ac:dyDescent="0.25">
      <c r="A19" s="157">
        <v>17</v>
      </c>
      <c r="B19" s="220" t="s">
        <v>337</v>
      </c>
      <c r="C19" s="227" t="s">
        <v>270</v>
      </c>
      <c r="D19" s="160">
        <v>5</v>
      </c>
      <c r="E19" s="130">
        <v>60</v>
      </c>
      <c r="F19" s="146">
        <v>26.87</v>
      </c>
      <c r="G19" s="131">
        <f t="shared" si="3"/>
        <v>134.35</v>
      </c>
      <c r="H19" s="137">
        <f t="shared" si="0"/>
        <v>2.2400000000000002</v>
      </c>
    </row>
    <row r="20" spans="1:9" ht="15" customHeight="1" x14ac:dyDescent="0.25">
      <c r="A20" s="157">
        <v>18</v>
      </c>
      <c r="B20" s="220" t="s">
        <v>338</v>
      </c>
      <c r="C20" s="227" t="s">
        <v>270</v>
      </c>
      <c r="D20" s="160">
        <v>12</v>
      </c>
      <c r="E20" s="130">
        <v>60</v>
      </c>
      <c r="F20" s="146">
        <v>25.5</v>
      </c>
      <c r="G20" s="131">
        <f t="shared" si="3"/>
        <v>306</v>
      </c>
      <c r="H20" s="137">
        <f t="shared" si="0"/>
        <v>5.0999999999999996</v>
      </c>
    </row>
    <row r="21" spans="1:9" ht="45" x14ac:dyDescent="0.25">
      <c r="A21" s="222">
        <v>19</v>
      </c>
      <c r="B21" s="220" t="s">
        <v>339</v>
      </c>
      <c r="C21" s="227" t="s">
        <v>270</v>
      </c>
      <c r="D21" s="160">
        <v>32</v>
      </c>
      <c r="E21" s="130">
        <v>60</v>
      </c>
      <c r="F21" s="146">
        <v>56</v>
      </c>
      <c r="G21" s="131">
        <f>F21*D21</f>
        <v>1792</v>
      </c>
      <c r="H21" s="137">
        <f t="shared" si="0"/>
        <v>29.87</v>
      </c>
      <c r="I21" s="246"/>
    </row>
    <row r="22" spans="1:9" ht="45" x14ac:dyDescent="0.25">
      <c r="A22" s="157">
        <v>20</v>
      </c>
      <c r="B22" s="220" t="s">
        <v>340</v>
      </c>
      <c r="C22" s="227" t="s">
        <v>270</v>
      </c>
      <c r="D22" s="160">
        <v>15</v>
      </c>
      <c r="E22" s="130">
        <v>60</v>
      </c>
      <c r="F22" s="146">
        <v>66</v>
      </c>
      <c r="G22" s="131">
        <f>F22*D22</f>
        <v>990</v>
      </c>
      <c r="H22" s="137">
        <f t="shared" si="0"/>
        <v>16.5</v>
      </c>
    </row>
    <row r="23" spans="1:9" ht="15" customHeight="1" x14ac:dyDescent="0.25">
      <c r="A23" s="157">
        <v>21</v>
      </c>
      <c r="B23" s="224" t="s">
        <v>258</v>
      </c>
      <c r="C23" s="227" t="s">
        <v>270</v>
      </c>
      <c r="D23" s="160">
        <v>4</v>
      </c>
      <c r="E23" s="130">
        <v>60</v>
      </c>
      <c r="F23" s="146">
        <v>74.069999999999993</v>
      </c>
      <c r="G23" s="131">
        <f t="shared" si="3"/>
        <v>296.27999999999997</v>
      </c>
      <c r="H23" s="137">
        <f t="shared" si="0"/>
        <v>4.9400000000000004</v>
      </c>
    </row>
    <row r="24" spans="1:9" ht="15" customHeight="1" x14ac:dyDescent="0.25">
      <c r="A24" s="222">
        <v>22</v>
      </c>
      <c r="B24" s="224" t="s">
        <v>257</v>
      </c>
      <c r="C24" s="212" t="s">
        <v>270</v>
      </c>
      <c r="D24" s="223">
        <v>40</v>
      </c>
      <c r="E24" s="160">
        <v>60</v>
      </c>
      <c r="F24" s="146">
        <v>13.72</v>
      </c>
      <c r="G24" s="131">
        <f t="shared" si="3"/>
        <v>548.79999999999995</v>
      </c>
      <c r="H24" s="137">
        <f t="shared" si="0"/>
        <v>9.15</v>
      </c>
    </row>
    <row r="25" spans="1:9" ht="15" customHeight="1" x14ac:dyDescent="0.25">
      <c r="A25" s="157">
        <v>23</v>
      </c>
      <c r="B25" s="224" t="s">
        <v>278</v>
      </c>
      <c r="C25" s="227" t="s">
        <v>270</v>
      </c>
      <c r="D25" s="160">
        <v>1</v>
      </c>
      <c r="E25" s="130">
        <v>60</v>
      </c>
      <c r="F25" s="158">
        <v>594.5</v>
      </c>
      <c r="G25" s="131">
        <f t="shared" si="3"/>
        <v>594.5</v>
      </c>
      <c r="H25" s="137">
        <f t="shared" si="0"/>
        <v>9.91</v>
      </c>
    </row>
    <row r="26" spans="1:9" ht="15" customHeight="1" x14ac:dyDescent="0.25">
      <c r="A26" s="157">
        <v>24</v>
      </c>
      <c r="B26" s="220" t="s">
        <v>345</v>
      </c>
      <c r="C26" s="227" t="s">
        <v>273</v>
      </c>
      <c r="D26" s="160">
        <v>10</v>
      </c>
      <c r="E26" s="130">
        <v>60</v>
      </c>
      <c r="F26" s="131">
        <v>28.59</v>
      </c>
      <c r="G26" s="131">
        <f t="shared" si="3"/>
        <v>285.89999999999998</v>
      </c>
      <c r="H26" s="137">
        <f t="shared" si="0"/>
        <v>4.7699999999999996</v>
      </c>
    </row>
    <row r="27" spans="1:9" ht="60" x14ac:dyDescent="0.25">
      <c r="A27" s="222">
        <v>25</v>
      </c>
      <c r="B27" s="220" t="s">
        <v>341</v>
      </c>
      <c r="C27" s="227" t="s">
        <v>270</v>
      </c>
      <c r="D27" s="160">
        <v>3</v>
      </c>
      <c r="E27" s="130">
        <v>60</v>
      </c>
      <c r="F27" s="146">
        <v>397</v>
      </c>
      <c r="G27" s="131">
        <f t="shared" si="3"/>
        <v>1191</v>
      </c>
      <c r="H27" s="137">
        <f t="shared" si="0"/>
        <v>19.850000000000001</v>
      </c>
      <c r="I27" s="246"/>
    </row>
    <row r="28" spans="1:9" ht="15" x14ac:dyDescent="0.25">
      <c r="A28" s="157">
        <v>26</v>
      </c>
      <c r="B28" s="220" t="s">
        <v>342</v>
      </c>
      <c r="C28" s="227" t="s">
        <v>270</v>
      </c>
      <c r="D28" s="160">
        <v>1</v>
      </c>
      <c r="E28" s="130">
        <v>60</v>
      </c>
      <c r="F28" s="138">
        <v>575</v>
      </c>
      <c r="G28" s="131">
        <f t="shared" si="3"/>
        <v>575</v>
      </c>
      <c r="H28" s="137">
        <f t="shared" si="0"/>
        <v>9.58</v>
      </c>
    </row>
    <row r="29" spans="1:9" ht="15" customHeight="1" x14ac:dyDescent="0.25">
      <c r="A29" s="157">
        <v>27</v>
      </c>
      <c r="B29" s="220" t="s">
        <v>343</v>
      </c>
      <c r="C29" s="227" t="s">
        <v>270</v>
      </c>
      <c r="D29" s="160">
        <v>1</v>
      </c>
      <c r="E29" s="130">
        <v>60</v>
      </c>
      <c r="F29" s="146">
        <v>642.5</v>
      </c>
      <c r="G29" s="131">
        <f t="shared" si="3"/>
        <v>642.5</v>
      </c>
      <c r="H29" s="137">
        <f t="shared" si="0"/>
        <v>10.71</v>
      </c>
    </row>
    <row r="30" spans="1:9" ht="60" x14ac:dyDescent="0.25">
      <c r="A30" s="222">
        <v>28</v>
      </c>
      <c r="B30" s="220" t="s">
        <v>344</v>
      </c>
      <c r="C30" s="227" t="s">
        <v>273</v>
      </c>
      <c r="D30" s="160">
        <v>3</v>
      </c>
      <c r="E30" s="130">
        <v>60</v>
      </c>
      <c r="F30" s="138">
        <v>337.54</v>
      </c>
      <c r="G30" s="131">
        <f t="shared" si="3"/>
        <v>1012.62</v>
      </c>
      <c r="H30" s="137">
        <f t="shared" si="0"/>
        <v>16.88</v>
      </c>
    </row>
    <row r="31" spans="1:9" ht="15" customHeight="1" x14ac:dyDescent="0.25">
      <c r="A31" s="157">
        <v>29</v>
      </c>
      <c r="B31" s="220" t="s">
        <v>324</v>
      </c>
      <c r="C31" s="212" t="s">
        <v>273</v>
      </c>
      <c r="D31" s="223">
        <v>1</v>
      </c>
      <c r="E31" s="130">
        <v>60</v>
      </c>
      <c r="F31" s="146">
        <v>21.31</v>
      </c>
      <c r="G31" s="131">
        <f t="shared" si="3"/>
        <v>21.31</v>
      </c>
      <c r="H31" s="137">
        <f t="shared" si="0"/>
        <v>0.36</v>
      </c>
    </row>
    <row r="32" spans="1:9" ht="30" x14ac:dyDescent="0.25">
      <c r="A32" s="157">
        <v>30</v>
      </c>
      <c r="B32" s="220" t="s">
        <v>328</v>
      </c>
      <c r="C32" s="212" t="s">
        <v>277</v>
      </c>
      <c r="D32" s="223">
        <v>1</v>
      </c>
      <c r="E32" s="130">
        <v>60</v>
      </c>
      <c r="F32" s="146">
        <v>5</v>
      </c>
      <c r="G32" s="131">
        <f t="shared" si="3"/>
        <v>5</v>
      </c>
      <c r="H32" s="137">
        <f t="shared" si="0"/>
        <v>0.08</v>
      </c>
    </row>
    <row r="33" spans="1:8" ht="30" x14ac:dyDescent="0.25">
      <c r="A33" s="222">
        <v>31</v>
      </c>
      <c r="B33" s="224" t="s">
        <v>354</v>
      </c>
      <c r="C33" s="227" t="s">
        <v>277</v>
      </c>
      <c r="D33" s="160">
        <v>2</v>
      </c>
      <c r="E33" s="130">
        <v>60</v>
      </c>
      <c r="F33" s="146">
        <v>3.25</v>
      </c>
      <c r="G33" s="131">
        <f t="shared" si="3"/>
        <v>6.5</v>
      </c>
      <c r="H33" s="137">
        <f t="shared" si="0"/>
        <v>0.11</v>
      </c>
    </row>
    <row r="34" spans="1:8" ht="15" x14ac:dyDescent="0.25">
      <c r="A34" s="157">
        <v>32</v>
      </c>
      <c r="B34" s="181" t="s">
        <v>346</v>
      </c>
      <c r="C34" s="212" t="s">
        <v>270</v>
      </c>
      <c r="D34" s="223">
        <v>5</v>
      </c>
      <c r="E34" s="160">
        <v>60</v>
      </c>
      <c r="F34" s="138">
        <v>5</v>
      </c>
      <c r="G34" s="131">
        <f t="shared" si="3"/>
        <v>25</v>
      </c>
      <c r="H34" s="161">
        <f>G34/12</f>
        <v>2.08</v>
      </c>
    </row>
    <row r="35" spans="1:8" ht="15" x14ac:dyDescent="0.25">
      <c r="A35" s="157">
        <v>33</v>
      </c>
      <c r="B35" s="220" t="s">
        <v>347</v>
      </c>
      <c r="C35" s="212" t="s">
        <v>273</v>
      </c>
      <c r="D35" s="223">
        <v>1</v>
      </c>
      <c r="E35" s="143">
        <v>60</v>
      </c>
      <c r="F35" s="146">
        <v>13.7</v>
      </c>
      <c r="G35" s="131">
        <f t="shared" si="3"/>
        <v>13.7</v>
      </c>
      <c r="H35" s="161">
        <f>G35/12</f>
        <v>1.1399999999999999</v>
      </c>
    </row>
    <row r="36" spans="1:8" ht="15.75" thickBot="1" x14ac:dyDescent="0.3">
      <c r="A36" s="222">
        <v>34</v>
      </c>
      <c r="B36" s="220" t="s">
        <v>348</v>
      </c>
      <c r="C36" s="212" t="s">
        <v>273</v>
      </c>
      <c r="D36" s="223">
        <v>4</v>
      </c>
      <c r="E36" s="130">
        <v>60</v>
      </c>
      <c r="F36" s="131">
        <v>13.8</v>
      </c>
      <c r="G36" s="131">
        <f t="shared" si="3"/>
        <v>55.2</v>
      </c>
      <c r="H36" s="161">
        <f>G36/12</f>
        <v>4.5999999999999996</v>
      </c>
    </row>
    <row r="37" spans="1:8" ht="15.75" thickBot="1" x14ac:dyDescent="0.3">
      <c r="A37" s="447"/>
      <c r="B37" s="448"/>
      <c r="C37" s="448"/>
      <c r="D37" s="448"/>
      <c r="E37" s="448"/>
      <c r="F37" s="449"/>
      <c r="G37" s="198">
        <f>SUM(G3:G36)</f>
        <v>15083.99</v>
      </c>
      <c r="H37" s="199">
        <f>SUM(H3:H36)</f>
        <v>257.67</v>
      </c>
    </row>
    <row r="38" spans="1:8" ht="15.75" thickBot="1" x14ac:dyDescent="0.3">
      <c r="A38" s="444" t="s">
        <v>244</v>
      </c>
      <c r="B38" s="445"/>
      <c r="C38" s="445"/>
      <c r="D38" s="445"/>
      <c r="E38" s="445"/>
      <c r="F38" s="445"/>
      <c r="G38" s="446"/>
      <c r="H38" s="200">
        <f>H37/5</f>
        <v>51.53</v>
      </c>
    </row>
  </sheetData>
  <mergeCells count="3">
    <mergeCell ref="A1:H1"/>
    <mergeCell ref="A38:G38"/>
    <mergeCell ref="A37:F37"/>
  </mergeCells>
  <printOptions horizontalCentered="1"/>
  <pageMargins left="0.31496062992125984" right="0.31496062992125984" top="0.35433070866141736" bottom="1.1811023622047245" header="3.937007874015748E-2" footer="0.31496062992125984"/>
  <pageSetup paperSize="9" scale="52" orientation="portrait" r:id="rId1"/>
  <headerFooter differentFirst="1">
    <firstFooter>&amp;R&amp;G</first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7</vt:i4>
      </vt:variant>
    </vt:vector>
  </HeadingPairs>
  <TitlesOfParts>
    <vt:vector size="15" baseType="lpstr">
      <vt:lpstr>Plan2</vt:lpstr>
      <vt:lpstr>Plan3</vt:lpstr>
      <vt:lpstr>PLANILHA </vt:lpstr>
      <vt:lpstr>M2</vt:lpstr>
      <vt:lpstr>Auxiliar de Limpeza </vt:lpstr>
      <vt:lpstr>Uniformes e EPI's</vt:lpstr>
      <vt:lpstr>Insumos</vt:lpstr>
      <vt:lpstr>Equipamentos</vt:lpstr>
      <vt:lpstr>'Auxiliar de Limpeza '!Area_de_impressao</vt:lpstr>
      <vt:lpstr>Equipamentos!Area_de_impressao</vt:lpstr>
      <vt:lpstr>Insumos!Area_de_impressao</vt:lpstr>
      <vt:lpstr>'M2'!Area_de_impressao</vt:lpstr>
      <vt:lpstr>'PLANILHA '!Area_de_impressao</vt:lpstr>
      <vt:lpstr>'Uniformes e EPI''s'!Area_de_impressao</vt:lpstr>
      <vt:lpstr>'Auxiliar de Limpeza '!Titulos_de_impressao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Kelvin Klysman de Oliveira Leal</cp:lastModifiedBy>
  <cp:lastPrinted>2024-12-10T12:41:39Z</cp:lastPrinted>
  <dcterms:created xsi:type="dcterms:W3CDTF">2014-04-11T01:53:38Z</dcterms:created>
  <dcterms:modified xsi:type="dcterms:W3CDTF">2025-04-15T13:56:49Z</dcterms:modified>
</cp:coreProperties>
</file>